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1.13\Sport\ОТЧЕТЫ\2023\экономика\отчет по программе\2 кв 2023\"/>
    </mc:Choice>
  </mc:AlternateContent>
  <bookViews>
    <workbookView xWindow="0" yWindow="0" windowWidth="13365" windowHeight="11775"/>
  </bookViews>
  <sheets>
    <sheet name="на 30.06.2023" sheetId="2" r:id="rId1"/>
  </sheets>
  <definedNames>
    <definedName name="_xlnm.Print_Area" localSheetId="0">'на 30.06.2023'!$A$1:$R$36</definedName>
  </definedNames>
  <calcPr calcId="152511"/>
</workbook>
</file>

<file path=xl/calcChain.xml><?xml version="1.0" encoding="utf-8"?>
<calcChain xmlns="http://schemas.openxmlformats.org/spreadsheetml/2006/main">
  <c r="AB8" i="2" l="1"/>
  <c r="AD10" i="2" l="1"/>
  <c r="AC10" i="2"/>
  <c r="Q10" i="2" l="1"/>
  <c r="AA13" i="2"/>
  <c r="AA32" i="2"/>
  <c r="AB7" i="2" l="1"/>
  <c r="Q20" i="2" l="1"/>
  <c r="K20" i="2"/>
  <c r="K22" i="2" l="1"/>
  <c r="J22" i="2"/>
  <c r="P22" i="2"/>
  <c r="O22" i="2"/>
  <c r="P24" i="2"/>
  <c r="K24" i="2"/>
  <c r="O24" i="2"/>
  <c r="J24" i="2"/>
  <c r="P21" i="2"/>
  <c r="K21" i="2"/>
  <c r="P20" i="2"/>
  <c r="K18" i="2"/>
  <c r="P18" i="2"/>
  <c r="P17" i="2"/>
  <c r="O16" i="2"/>
  <c r="P16" i="2"/>
  <c r="N16" i="2"/>
  <c r="O12" i="2"/>
  <c r="P12" i="2"/>
  <c r="K12" i="2"/>
  <c r="J12" i="2"/>
  <c r="K11" i="2"/>
  <c r="P11" i="2"/>
  <c r="P10" i="2"/>
  <c r="K10" i="2"/>
  <c r="P9" i="2"/>
  <c r="P8" i="2"/>
  <c r="P7" i="2"/>
  <c r="H24" i="2" l="1"/>
  <c r="H12" i="2" l="1"/>
  <c r="C12" i="2"/>
  <c r="H8" i="2"/>
  <c r="Q31" i="2" l="1"/>
  <c r="P31" i="2"/>
  <c r="G25" i="2" l="1"/>
  <c r="Q25" i="2"/>
  <c r="U25" i="2" s="1"/>
  <c r="P13" i="2"/>
  <c r="Q13" i="2"/>
  <c r="J25" i="2"/>
  <c r="H10" i="2"/>
  <c r="H11" i="2"/>
  <c r="P25" i="2"/>
  <c r="O25" i="2"/>
  <c r="K13" i="2"/>
  <c r="K25" i="2"/>
  <c r="H30" i="2"/>
  <c r="M7" i="2"/>
  <c r="F25" i="2"/>
  <c r="F13" i="2"/>
  <c r="C10" i="2"/>
  <c r="M8" i="2"/>
  <c r="AB23" i="2"/>
  <c r="H20" i="2"/>
  <c r="M31" i="2"/>
  <c r="M30" i="2"/>
  <c r="I13" i="2"/>
  <c r="C31" i="2"/>
  <c r="E25" i="2"/>
  <c r="H17" i="2"/>
  <c r="H18" i="2"/>
  <c r="M22" i="2"/>
  <c r="D25" i="2"/>
  <c r="I25" i="2"/>
  <c r="L25" i="2"/>
  <c r="N25" i="2"/>
  <c r="H22" i="2"/>
  <c r="M24" i="2"/>
  <c r="C23" i="2"/>
  <c r="C24" i="2"/>
  <c r="M12" i="2"/>
  <c r="AB12" i="2" s="1"/>
  <c r="M17" i="2"/>
  <c r="AB17" i="2" s="1"/>
  <c r="H21" i="2"/>
  <c r="H16" i="2"/>
  <c r="H27" i="2"/>
  <c r="E13" i="2"/>
  <c r="C30" i="2"/>
  <c r="C27" i="2"/>
  <c r="C17" i="2"/>
  <c r="C16" i="2"/>
  <c r="M10" i="2"/>
  <c r="V10" i="2" s="1"/>
  <c r="C8" i="2"/>
  <c r="M20" i="2"/>
  <c r="O13" i="2"/>
  <c r="C11" i="2"/>
  <c r="M18" i="2"/>
  <c r="M21" i="2"/>
  <c r="M16" i="2"/>
  <c r="AB16" i="2" s="1"/>
  <c r="D13" i="2"/>
  <c r="G13" i="2"/>
  <c r="G32" i="2" s="1"/>
  <c r="C22" i="2"/>
  <c r="AC23" i="2"/>
  <c r="C20" i="2"/>
  <c r="Z22" i="2"/>
  <c r="Z21" i="2"/>
  <c r="U20" i="2"/>
  <c r="T20" i="2"/>
  <c r="S20" i="2"/>
  <c r="S10" i="2"/>
  <c r="T10" i="2"/>
  <c r="U10" i="2"/>
  <c r="U21" i="2"/>
  <c r="U22" i="2"/>
  <c r="U23" i="2"/>
  <c r="U18" i="2"/>
  <c r="U16" i="2"/>
  <c r="T23" i="2"/>
  <c r="T22" i="2"/>
  <c r="T21" i="2"/>
  <c r="T18" i="2"/>
  <c r="T16" i="2"/>
  <c r="S16" i="2"/>
  <c r="S22" i="2"/>
  <c r="S23" i="2"/>
  <c r="S21" i="2"/>
  <c r="U11" i="2"/>
  <c r="U12" i="2"/>
  <c r="U7" i="2"/>
  <c r="U9" i="2"/>
  <c r="U8" i="2"/>
  <c r="T12" i="2"/>
  <c r="T11" i="2"/>
  <c r="S12" i="2"/>
  <c r="S11" i="2"/>
  <c r="C18" i="2"/>
  <c r="M11" i="2"/>
  <c r="M9" i="2"/>
  <c r="N13" i="2"/>
  <c r="N32" i="2" s="1"/>
  <c r="C9" i="2"/>
  <c r="C7" i="2"/>
  <c r="C13" i="2" s="1"/>
  <c r="C21" i="2"/>
  <c r="L9" i="2"/>
  <c r="H9" i="2"/>
  <c r="AB9" i="2"/>
  <c r="S9" i="2"/>
  <c r="T9" i="2"/>
  <c r="S7" i="2"/>
  <c r="T7" i="2"/>
  <c r="H7" i="2"/>
  <c r="T8" i="2"/>
  <c r="J13" i="2"/>
  <c r="L13" i="2"/>
  <c r="I32" i="2"/>
  <c r="S8" i="2"/>
  <c r="AB20" i="2" l="1"/>
  <c r="L32" i="2"/>
  <c r="AB21" i="2"/>
  <c r="T13" i="2"/>
  <c r="J32" i="2"/>
  <c r="AB11" i="2"/>
  <c r="AB10" i="2"/>
  <c r="AB19" i="2"/>
  <c r="W20" i="2"/>
  <c r="H13" i="2"/>
  <c r="M13" i="2"/>
  <c r="O32" i="2"/>
  <c r="Z34" i="2"/>
  <c r="AB30" i="2"/>
  <c r="E32" i="2"/>
  <c r="F32" i="2"/>
  <c r="AB24" i="2"/>
  <c r="T25" i="2"/>
  <c r="AB22" i="2"/>
  <c r="H25" i="2"/>
  <c r="Q32" i="2"/>
  <c r="U32" i="2" s="1"/>
  <c r="M25" i="2"/>
  <c r="S25" i="2"/>
  <c r="P32" i="2"/>
  <c r="O34" i="2" s="1"/>
  <c r="K32" i="2"/>
  <c r="C25" i="2"/>
  <c r="D32" i="2"/>
  <c r="U13" i="2"/>
  <c r="S13" i="2"/>
  <c r="T32" i="2" l="1"/>
  <c r="I34" i="2"/>
  <c r="P35" i="2" s="1"/>
  <c r="C32" i="2"/>
  <c r="AB25" i="2"/>
  <c r="V25" i="2"/>
  <c r="M32" i="2"/>
  <c r="S32" i="2"/>
  <c r="H32" i="2"/>
  <c r="H42" i="2" s="1"/>
  <c r="S14" i="2"/>
  <c r="M42" i="2" l="1"/>
  <c r="M45" i="2" s="1"/>
  <c r="S34" i="2"/>
</calcChain>
</file>

<file path=xl/sharedStrings.xml><?xml version="1.0" encoding="utf-8"?>
<sst xmlns="http://schemas.openxmlformats.org/spreadsheetml/2006/main" count="91" uniqueCount="78">
  <si>
    <t>№</t>
  </si>
  <si>
    <t>Наименование подпрограмм, мероприятия</t>
  </si>
  <si>
    <t>План по программе</t>
  </si>
  <si>
    <t>Уточненный план по бюджету *</t>
  </si>
  <si>
    <t>Кассовое исполнение *</t>
  </si>
  <si>
    <t>Результат реализации мероприятия, причина невыполнения или неполного выполнения мероприятия</t>
  </si>
  <si>
    <t>всего</t>
  </si>
  <si>
    <t>федеральный бюджет</t>
  </si>
  <si>
    <t>Итого по подпрограмме I:</t>
  </si>
  <si>
    <t>Итого по подпрограмме II:</t>
  </si>
  <si>
    <t>Итого по программе:</t>
  </si>
  <si>
    <t xml:space="preserve">окружной
бюджет 
</t>
  </si>
  <si>
    <t xml:space="preserve">городской
 бюджет
</t>
  </si>
  <si>
    <t xml:space="preserve">другие 
источники
</t>
  </si>
  <si>
    <t>2.4</t>
  </si>
  <si>
    <t>2.5</t>
  </si>
  <si>
    <t xml:space="preserve">Обеспечение физкультурно-спортивных организаций осуществляющих подготовку спортивного резерва спортивным оборудованием, экипировкой и инвентарем, проведением тренировочных сборов и участием в соревнованиях
(показатели 3,5)
</t>
  </si>
  <si>
    <t>2.6</t>
  </si>
  <si>
    <t xml:space="preserve">Укрепление материально-технической базы учреждений спорта      (показатели 5)
</t>
  </si>
  <si>
    <t>мб</t>
  </si>
  <si>
    <t>об</t>
  </si>
  <si>
    <t>внебюджет</t>
  </si>
  <si>
    <t xml:space="preserve"> </t>
  </si>
  <si>
    <t>Государственная поддержка спортивных организаций, осуществляющих подготовку спортивного резерва для сборных команд Российской Федерации</t>
  </si>
  <si>
    <t>2.1</t>
  </si>
  <si>
    <t>2.3</t>
  </si>
  <si>
    <t xml:space="preserve">Организация и проведение физкультурных (физкультурно-оздоровительных) мероприятий </t>
  </si>
  <si>
    <t xml:space="preserve">Организация и проведение мероприятий в рамках  внедрения Всероссийского физкультурно-спортивного комплекса "Готов к труду и обороне" (ГТО)     </t>
  </si>
  <si>
    <t xml:space="preserve">Обеспечение участия в официальных физкультурных (физкультурно-оздоровительных)  мероприятиях     </t>
  </si>
  <si>
    <t>1.3</t>
  </si>
  <si>
    <t>1.1</t>
  </si>
  <si>
    <t xml:space="preserve">Создание условий для удовлетворения потребности населения муниципального образования в предоставлении физкультурно-оздоровительных услуг, предоставление в пользование  населению спортивных сооружений            </t>
  </si>
  <si>
    <t xml:space="preserve">Обеспечение комплексной безопасности, в том числе антитеррористической безопасности муниципальных объектов спорта      </t>
  </si>
  <si>
    <t>1.2</t>
  </si>
  <si>
    <t>Региональный проект "Спорт-норма жизни"</t>
  </si>
  <si>
    <t xml:space="preserve">Обеспечение участия  спортивных сборных команд  в официальных  спортивных мероприятиях          </t>
  </si>
  <si>
    <t xml:space="preserve">Создание условий для удовлетворения
потребности населения муниципального образования в оказании услуг в сфере физической культуры и спорта (содержание учреждений), предоставление в пользование населению спортивных сооружений   
</t>
  </si>
  <si>
    <t xml:space="preserve">Обеспечение комплексной безопасности, в том числе антитеррористической безопасности муниципальных объектов спорта      
</t>
  </si>
  <si>
    <t>Подпрограмма 3 "Поддержка социально-ориентированных некоммерческих организаций"</t>
  </si>
  <si>
    <t>3.1</t>
  </si>
  <si>
    <t>Подпрограмма 4 "Обеспечение условий доступности приоритетных объектов и услуг в приоритетных сферах жизнедеятельночти инвалидов и других маломобильных групп населения"</t>
  </si>
  <si>
    <t>4.1</t>
  </si>
  <si>
    <t>Обеспечение условий доступности объектов и услуг сферы физической культуры и спорта для инвалидов и других маломобильных групп населения</t>
  </si>
  <si>
    <t>Итого по подпрограмме III:</t>
  </si>
  <si>
    <t>Итого по подпрограмме IV:</t>
  </si>
  <si>
    <t xml:space="preserve">Подпрограмма 1 «Развитие  физической культуры, массового и детско-юношеского спорта» </t>
  </si>
  <si>
    <t xml:space="preserve">Подпрограмма 2 «Развитие спорта высших достижений и системы подготовки спортивного резерва» </t>
  </si>
  <si>
    <t xml:space="preserve">Укрепление материально-технической базы учреждений спорта. Развитие сети спортивных объектов шаговой доступности     </t>
  </si>
  <si>
    <t>2.1.1</t>
  </si>
  <si>
    <t>2.2.</t>
  </si>
  <si>
    <t>Организация и проведение официальных спортивных мероприятий</t>
  </si>
  <si>
    <t>2.7</t>
  </si>
  <si>
    <t>Основное мероприятие "Укрепление материально-технической базы учреждений спорта"</t>
  </si>
  <si>
    <t>1.1.1</t>
  </si>
  <si>
    <t>1.4</t>
  </si>
  <si>
    <t>1.5</t>
  </si>
  <si>
    <t>1.6</t>
  </si>
  <si>
    <t>без фск исполнение наше</t>
  </si>
  <si>
    <t>Поддержка некоммерческих организаций (за исключением государственных (муниципальных) учреждений), в том числе осуществляющих развитие игровых, приоритетных видов спорта</t>
  </si>
  <si>
    <t>Исполнитель: главный специалист отдела по физической культуре и спорту УКиС</t>
  </si>
  <si>
    <r>
      <rPr>
        <b/>
        <sz val="12"/>
        <rFont val="Times New Roman"/>
        <family val="1"/>
        <charset val="204"/>
      </rPr>
      <t xml:space="preserve">Отчет о ходе реализации  муниципальной программы
 «Развитие физической культуры и спорта в  городе Пыть-Яхе»
за январь-июнь  2023 года
</t>
    </r>
    <r>
      <rPr>
        <sz val="12"/>
        <rFont val="Calibri"/>
        <family val="2"/>
        <charset val="204"/>
      </rPr>
      <t xml:space="preserve">
</t>
    </r>
  </si>
  <si>
    <r>
      <rPr>
        <sz val="11"/>
        <rFont val="Times New Roman"/>
        <family val="1"/>
        <charset val="204"/>
      </rPr>
      <t>Фактические расходы на 30.06.2023 по данному мероприятию составили 67,8 тыс.рублей:                                                                                                                             
- на организацию и проведение первенства города и СШОР по видам спорта (на приобретение медалей, кубков, диппломов)</t>
    </r>
    <r>
      <rPr>
        <b/>
        <sz val="11"/>
        <rFont val="Times New Roman"/>
        <family val="1"/>
        <charset val="204"/>
      </rPr>
      <t>.                                                          
Исполнение составило -32,2%</t>
    </r>
  </si>
  <si>
    <t>Исполнение составило - 49,8%</t>
  </si>
  <si>
    <t>Исполнение составило - 21,7%</t>
  </si>
  <si>
    <t>Исполнение составило - 12,5%</t>
  </si>
  <si>
    <r>
      <t xml:space="preserve">МАУ "АЦ "Дельфин" заключены договора на оказание услуг по физической охране здания до конца 2023г.
МАУ "Спортивный комплекс" ведется ежемесячная  работа по заключению договоров на дальнейшее оказание услуг по физической охране объектов.
</t>
    </r>
    <r>
      <rPr>
        <b/>
        <sz val="11"/>
        <rFont val="Times New Roman"/>
        <family val="1"/>
        <charset val="204"/>
      </rPr>
      <t>Исполнение составило - 36,9%</t>
    </r>
  </si>
  <si>
    <r>
      <rPr>
        <b/>
        <sz val="11"/>
        <rFont val="Times New Roman"/>
        <family val="1"/>
        <charset val="204"/>
      </rPr>
      <t xml:space="preserve">На 30.06.2023 МБУ ДО Спортивная школа олимпийского резерва обеспечено участие спортсменов в 9 официальных спортивных мероприятиях (план - 33 мероприятия)     </t>
    </r>
    <r>
      <rPr>
        <sz val="11"/>
        <rFont val="Times New Roman"/>
        <family val="1"/>
        <charset val="204"/>
      </rPr>
      <t xml:space="preserve">                                                                                                                                                                                                                                             
</t>
    </r>
    <r>
      <rPr>
        <b/>
        <sz val="11"/>
        <rFont val="Times New Roman"/>
        <family val="1"/>
        <charset val="204"/>
      </rPr>
      <t xml:space="preserve">БОКС </t>
    </r>
    <r>
      <rPr>
        <sz val="11"/>
        <rFont val="Times New Roman"/>
        <family val="1"/>
        <charset val="204"/>
      </rPr>
      <t xml:space="preserve">
1. Зональное первенство ХМАО-Югры по боксу среди юношей 13-14 лет г.Нефтеюганск;   2. Первенству УрФО по боксу среди девушек г.Челябинск;   3. Первенство России по боксу среди девушек 13-14, 15-16 лет г.Королев;   4. Открытый мемориальный турнир Нефтеюганского района по боксу, памяти старшего летенанта А.Л. Захарова гп.Пойковский;   5. Чемпионат УрФО по боксу среди мужчин г. Екатеринбург;   6. Первенство УрФО среди юношей 13-14 лет г. Екатеринбург
</t>
    </r>
    <r>
      <rPr>
        <b/>
        <sz val="11"/>
        <rFont val="Times New Roman"/>
        <family val="1"/>
        <charset val="204"/>
      </rPr>
      <t xml:space="preserve">ВОЛЬНАЯ БОРЬБА  </t>
    </r>
    <r>
      <rPr>
        <sz val="11"/>
        <rFont val="Times New Roman"/>
        <family val="1"/>
        <charset val="204"/>
      </rPr>
      <t xml:space="preserve">
7. Открытый турнир по вольной борьбе г.Тюмень;   8. XI Открытый всероссийский турнир "М-7" по вольной борьбе среди юношей 2010-2011 и 2008-2009 гг.р.г.Нижнекамск
</t>
    </r>
    <r>
      <rPr>
        <b/>
        <sz val="11"/>
        <rFont val="Times New Roman"/>
        <family val="1"/>
        <charset val="204"/>
      </rPr>
      <t>ТХЭКВАНДО</t>
    </r>
    <r>
      <rPr>
        <sz val="11"/>
        <rFont val="Times New Roman"/>
        <family val="1"/>
        <charset val="204"/>
      </rPr>
      <t xml:space="preserve">
9. Открытое первенство города по тхеквондо г.Нижневарторск
</t>
    </r>
    <r>
      <rPr>
        <b/>
        <sz val="11"/>
        <rFont val="Times New Roman"/>
        <family val="1"/>
        <charset val="204"/>
      </rPr>
      <t xml:space="preserve">На 30.06.2023 МБУ ДО Спортивная школа обеспечено участие спортсменов в 26 официальных спортивных мероприятиях (план 30 мероприятия):   </t>
    </r>
    <r>
      <rPr>
        <b/>
        <i/>
        <sz val="11"/>
        <rFont val="Times New Roman"/>
        <family val="1"/>
        <charset val="204"/>
      </rPr>
      <t xml:space="preserve">         </t>
    </r>
    <r>
      <rPr>
        <i/>
        <sz val="11"/>
        <rFont val="Times New Roman"/>
        <family val="1"/>
        <charset val="204"/>
      </rPr>
      <t xml:space="preserve">                                                                                                                                                                                   
</t>
    </r>
    <r>
      <rPr>
        <b/>
        <sz val="11"/>
        <rFont val="Times New Roman"/>
        <family val="1"/>
        <charset val="204"/>
      </rPr>
      <t xml:space="preserve">ЛЫЖНЫЕ ГОНКИ </t>
    </r>
    <r>
      <rPr>
        <sz val="11"/>
        <rFont val="Times New Roman"/>
        <family val="1"/>
        <charset val="204"/>
      </rPr>
      <t xml:space="preserve">
1. Региональное соревнование "Рождественская гонка" г.Ханты-Мансийск;   2. Первенство округа по лыжным гонкам среди юношей и девушек старшего и среднего возраста на призы "Олимпийцев" (ЛК) г.Ханты-Мансийск; 3. Первенство округа по лыжным гонкам  среди юношей и девушек 13-14 лет (ЛК) г. Ханты-Мансийск;   4. Учебно-тренировочные сборы г. Тюмень;   5. X Международный Югорский лыжный марафон "UGRA SKI"
</t>
    </r>
    <r>
      <rPr>
        <b/>
        <sz val="11"/>
        <rFont val="Times New Roman"/>
        <family val="1"/>
        <charset val="204"/>
      </rPr>
      <t>ВОЛЕЙБОЛ</t>
    </r>
    <r>
      <rPr>
        <sz val="11"/>
        <rFont val="Times New Roman"/>
        <family val="1"/>
        <charset val="204"/>
      </rPr>
      <t xml:space="preserve">
6. Открытое первенство города Сургута по волейболу среди команд юношей до 15 лет (2009-2010) гг.р. г.Сургут;   7. Первенство УРФО 2023 по волейболу среди команд юношей до 13 лет (2011-2012 гг.р.) г. Тюмень;   8. Первенство ХМАО-Югры по волейболу среди юношей до 14 лет, в зачет V Спартакиады "Спортивные таланты Югры" п.Покачи;  9. Первенство ХМАО-Югры по волейболу среди юношей до 17 лет г.Нижневартовск;   10. Первенство ХМАО-Югры по волейболу среди юношей до 15 лет г. Нижневартовск
</t>
    </r>
    <r>
      <rPr>
        <b/>
        <sz val="11"/>
        <rFont val="Times New Roman"/>
        <family val="1"/>
        <charset val="204"/>
      </rPr>
      <t xml:space="preserve">РУКОПАШНЫЙ БОЙ  </t>
    </r>
    <r>
      <rPr>
        <sz val="11"/>
        <rFont val="Times New Roman"/>
        <family val="1"/>
        <charset val="204"/>
      </rPr>
      <t xml:space="preserve">
11. Первенство России по рукопашному бою (юноши и девушки 14-15, 16-17, юниоры и юниорки 18-21 лет.) г.Ставрополь;   12. Всероссиские соревнования среди юношей и девушек 12-13,14-15,16-17 лет по рукопашному бою г.Челябинск;   13. Первенство России среди юношей и девушек 12-13 лет по рукопашному бою г.Брянск
</t>
    </r>
    <r>
      <rPr>
        <b/>
        <sz val="11"/>
        <rFont val="Times New Roman"/>
        <family val="1"/>
        <charset val="204"/>
      </rPr>
      <t xml:space="preserve">ПАУЭРЛИФТИНГ  </t>
    </r>
    <r>
      <rPr>
        <sz val="11"/>
        <rFont val="Times New Roman"/>
        <family val="1"/>
        <charset val="204"/>
      </rPr>
      <t xml:space="preserve">
14. Параспартакиада ХМАО-Югры г.Ханты-Мансийск;   15.  Первенство России по жиму и жиму классическому, 14-18,19-23 г.Екатеринбург;   16. Первенство России по троеборью классическому, 14-18,19-23 г.Краснодар;   17. Открытый Кубок округа по троеборью среди мужчин, женщин и ветеранов г.Ханты-Мансийск
</t>
    </r>
    <r>
      <rPr>
        <b/>
        <sz val="11"/>
        <rFont val="Times New Roman"/>
        <family val="1"/>
        <charset val="204"/>
      </rPr>
      <t xml:space="preserve">АЭРОБИКА
18. </t>
    </r>
    <r>
      <rPr>
        <sz val="11"/>
        <rFont val="Times New Roman"/>
        <family val="1"/>
        <charset val="204"/>
      </rPr>
      <t xml:space="preserve">Открытые муниципальные соревнования "Кубок Федерации города Тюмени по фитнес-аэробике "Тюмень друзей встречает!"  г.Тюмень
</t>
    </r>
    <r>
      <rPr>
        <b/>
        <sz val="11"/>
        <rFont val="Times New Roman"/>
        <family val="1"/>
        <charset val="204"/>
      </rPr>
      <t xml:space="preserve">МИНИ-ФУТБОЛ  </t>
    </r>
    <r>
      <rPr>
        <sz val="11"/>
        <rFont val="Times New Roman"/>
        <family val="1"/>
        <charset val="204"/>
      </rPr>
      <t xml:space="preserve">
19. Открытый кубок Тюменской области по мини-футболу среди юношей 2011-2012 сезон 2022-2023 3тур г. Тюмень;   20.  Открытый кубок Тюменской области по мини-футболу среди юношей 2011-2012 сезон 2022-2023 4 тур г.Тюмень;   21. Открытый кубок Тюменской области по мини-футболу среди юношей 2013-2014 сезон 2021-2022 4 тур г.Тобольск;   22. Открытый кубок Юга Тюменской области по мини-футболу среди юношей 2012-2013 сезон 2021-2022 3тур г.Ишим;   23. Открытый кубок Юга Тюменской области по мини-футболу среди юношей 2012-2013 сезон 2021-2022 4 тур г.Ишим;   24. 2 Тур первенства ХМАО-Югры по мини-футболу среди юношей 2013-2014 гг.р. (отбор на первенство УРФО) г.Ханты-Мансийск;   25. Первенство ХМАО-Югры по мини-футболу среди юношей 2013-2014 гг.р. 2 тур "Центр" г.Ханты-Мансийск
</t>
    </r>
    <r>
      <rPr>
        <b/>
        <sz val="11"/>
        <rFont val="Times New Roman"/>
        <family val="1"/>
        <charset val="204"/>
      </rPr>
      <t xml:space="preserve">АЙКИДО </t>
    </r>
    <r>
      <rPr>
        <sz val="11"/>
        <rFont val="Times New Roman"/>
        <family val="1"/>
        <charset val="204"/>
      </rPr>
      <t xml:space="preserve">
26.  Семинар по Айкидо г.Москва
</t>
    </r>
    <r>
      <rPr>
        <b/>
        <sz val="11"/>
        <rFont val="Times New Roman"/>
        <family val="1"/>
        <charset val="204"/>
      </rPr>
      <t>Исполнение составило - 70,8%</t>
    </r>
  </si>
  <si>
    <r>
      <t xml:space="preserve">Заключены договора на содержание имущества МБУ ДО СШ, МБУ ДО СШОР (тепловодоснабжение МУП УГХ, электроэнергия ТЭК, техническое облуживание электрооборудования, вывоз ЖБО, услуги связи прочие работы (услуги); произведены расходы на выплату заработной платы работников учреждения, ежегодного оплачиваемого отпуска, льготного проезда к месту отдыха и обратно, материальной помощи к отпуску и т.д. на сумму 50 561,7 тыс.руб.                                                                                                                               Кассовые расходы от оказания платных услуг (услуги тренажерного зала, занятия  фитнес аэробике) составили 1 693,3 тыс.рублей                                                    
</t>
    </r>
    <r>
      <rPr>
        <b/>
        <sz val="11"/>
        <rFont val="Times New Roman"/>
        <family val="1"/>
        <charset val="204"/>
      </rPr>
      <t>Исполнение составило - 55,0%</t>
    </r>
  </si>
  <si>
    <r>
      <t xml:space="preserve">МБУ ДО  Спортивная школа олимпийского резерва заключены договоры на обеспечение комплексной безопасности объектов
МБУ ДО Спортивная школа заключены договоры на услуги по охране объекта, охрану через ОПС, физическую охрану 
</t>
    </r>
    <r>
      <rPr>
        <b/>
        <sz val="11"/>
        <rFont val="Times New Roman"/>
        <family val="1"/>
        <charset val="204"/>
      </rPr>
      <t>Исполнение составило - 41,8%</t>
    </r>
  </si>
  <si>
    <r>
      <t xml:space="preserve">Заключено соглашение №14-СШ/2023 от 18.01.2023  на софинансирование расходов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медицинского сопровождения тренировочного процесса, проведения тренировочных сборов и участия в соревнованиях на сумму 5 121,3 тыс.руб.из них сресдтва ОБ - 4 865,2 тыс.руб., МБ - 256,1тыс.руб .                                                                                                                                                                                                                              МБУ ДО СШ  заключен договор на медицинское обслуживание спортивно-массовых мероприятий 226,1 тыс.руб. (АО - 214,8 тыс.руб., МБ - 11,3 тыс.руб), на углубленное медицинское обследование, для получения допуска к занятию спортом и участия в спортивных соревнованиях 586,6 тыс.руб. (АО - 557,3 тыс.руб., МБ 29,3 тыс.руб)                                                                                                                                                                                                                                                                         </t>
    </r>
    <r>
      <rPr>
        <b/>
        <sz val="11"/>
        <rFont val="Times New Roman"/>
        <family val="1"/>
        <charset val="204"/>
      </rPr>
      <t>Исполнение составило - 23,4%</t>
    </r>
  </si>
  <si>
    <r>
      <t xml:space="preserve">Заключены договора на содержание имущества МАУ "Спортивный комплекс" и МАУ "АЦ "Дельфин" (тепловодоснабжение МУП УГХ, электроэнергия ТЭК, техническое облуживание электрооборудования, вывоз ЖБО, услуги связи прочие работы (услуги)). Произведены расходы на выплату заработной платы работников учреждения, ежегодного оплачиваемого отпуска, льготного проезда к месту отдыха и обратно, материальной помощи к отпуску и т.д. Фактические расходы составили 25 276,0 тыс.руб.
Кассовые расход по поступлениям от приносящей доход деятельности (прокат коньков на кортах в 6 мкр., во 2 мкр., услуги тренажерного зала в с/з Россия и АЦ "Дельфин, предоставление бассейна дляч плавания) на 30.06.2023  составил 2 816,8 тыс.руб.                                                                                                                                                                                                                                                                                                                                                      </t>
    </r>
    <r>
      <rPr>
        <b/>
        <sz val="11"/>
        <color theme="1"/>
        <rFont val="Times New Roman"/>
        <family val="1"/>
        <charset val="204"/>
      </rPr>
      <t>Исполнение составило - 40,8%</t>
    </r>
  </si>
  <si>
    <r>
      <t xml:space="preserve">Заключено допсоглашение от 26.01.2023 №71885000-1-2019-005/8  на софинансирование расходов  на государственную поддержку спортивных организаций, осуществляющих подготовку спортивного резерва для сборных команд РФ в размере 398,0 тыс.рублей.
 На реализацию данного мероприятия предоставлена субсидия в размере 243,9 тыс.руб., в т.ч.:
- за счет средств ФБ – 104,3 тыс.руб.,
- за счет средств ОБ – 127,4 тыс.руб.,
- за счет средств МБ – 12,2 тыс.руб.
МБУ ДО СШОР заключен договор с ИП Бурменко № 03-0423/1 от 03.04.2023 на поставку спортивного инвентаря и оборудования для воспитанников отделений вольной борьбы и бокса. Поставка и оплата товара осуществлена в полном объеме - 100,0%.
Осуществлена поставка: прыжковые тумбы (1 комплект); стенка гимнастическая (3 шт.); степ-платформа (10 шт.); рама для кроссфита (1 комплект); мешок-манекен водоналивной (1 шт.); эспандер ленточный (40 шт.); жилет-утяжелитель (6 шт.).
 </t>
    </r>
    <r>
      <rPr>
        <b/>
        <sz val="11"/>
        <rFont val="Times New Roman"/>
        <family val="1"/>
        <charset val="204"/>
      </rPr>
      <t>Исполнение составило - 100%</t>
    </r>
  </si>
  <si>
    <r>
      <t xml:space="preserve">На базе МАУ Спортивный комплекс, согласно утвержденного плана мероприятий на 2023 год в рамках  Всероссийского физкультурно-спортивного комплекса "Готов к труду и обороне" запланированы к проведению 10 мероприятий физкультурно-оздоровительной направленности.  
По состоянию на 01.07.2023 проведено 3 мероприятия:                                                                                                                                                                                                                                                         
1. Соревнования по выполнению испытаний (тестов) Всероссийского физкультурно-спортивного комплекса «Готов к труду и обороне»  (ГТО) среди дошкольных общеобразовательных учреджений.
2. I этап  фестиваля Всероссийского физкультурно-спортивного комплекса "Готов к труду и оброне" (ГТО) среди семейных команд г.Пыть-Яха.
3. Фестиваль Всероссийского физкультурно-спортивного комплекса "Готов к труду и оброне" (ГТО) среди обучающихся образовательных организаций г. Пыть-Яха.
За I полугодие 2023 г. в рамках официальных (по плану СММ) мероприятий приняло участие 94 человека - это соревнования среди дошкольных образовательных учреждений (42 человека), Фестиваль среди семейных команд (12 человек) и Фестиваль среди обучающихся образовательных организаций (40 человек).
В рамках приёма нормативов ВФСК ГТО среди различных возрастных групп населения г. Пыть-Ях (простыми словами - тестирование населения) - приняло участие 444 человек.
</t>
    </r>
    <r>
      <rPr>
        <b/>
        <sz val="11"/>
        <color theme="1"/>
        <rFont val="Times New Roman"/>
        <family val="1"/>
        <charset val="204"/>
      </rPr>
      <t>Исполнение составило - 45,2%</t>
    </r>
  </si>
  <si>
    <r>
      <t xml:space="preserve">На 30.06.2023 проведено 17 спортивно-массовых городких мероприятий (план 53 мероприятия): 
1. Открытый турнир по волейболу среди мужских команд, приуроченный к 80-летию Победы в Сталинградской битве;   2. Открытый Чемпионат города по волейболу (мужчины);    3. Турнир по волейболу среди женских команд, посвящённый Международному женскому дню;   4. Открытый турнир по волейболу среди юношей 2008-2010 и 2010-2012  г.р. посвященный, Дню Победы;   5. Открытый турнир по волейболу "Связь поколений", посвященный Дню России;   6. Матчевая встреча по баскетболу, посвященная Дню защиты детей
</t>
    </r>
    <r>
      <rPr>
        <b/>
        <sz val="11"/>
        <color theme="1"/>
        <rFont val="Times New Roman"/>
        <family val="1"/>
        <charset val="204"/>
      </rPr>
      <t xml:space="preserve">ГРЕКО-РИМСКАЯ БОРЬБА </t>
    </r>
    <r>
      <rPr>
        <sz val="11"/>
        <color theme="1"/>
        <rFont val="Times New Roman"/>
        <family val="1"/>
        <charset val="204"/>
      </rPr>
      <t xml:space="preserve">
7. Турнир по греко-римской борьбе среди юношей, приуроченный 80-летию победы в Сталинградской битве;   8. Городской турнир по греко-римской борьбе среди юношей, посвященный Дню Победы
</t>
    </r>
    <r>
      <rPr>
        <b/>
        <sz val="11"/>
        <color theme="1"/>
        <rFont val="Times New Roman"/>
        <family val="1"/>
        <charset val="204"/>
      </rPr>
      <t xml:space="preserve">ШАШКИ </t>
    </r>
    <r>
      <rPr>
        <sz val="11"/>
        <color theme="1"/>
        <rFont val="Times New Roman"/>
        <family val="1"/>
        <charset val="204"/>
      </rPr>
      <t xml:space="preserve">
9. Блиц турнир по шахматам, среди детей 8-12 лет, приуроченный к 80-летию Победы в Сталинградской битве;   10. Квалификационный турнир по шахматам;   11. Блиц турнир по шахматам, посвящённый Дню Победы
</t>
    </r>
    <r>
      <rPr>
        <b/>
        <sz val="11"/>
        <color theme="1"/>
        <rFont val="Times New Roman"/>
        <family val="1"/>
        <charset val="204"/>
      </rPr>
      <t xml:space="preserve">ДЗЮДО и САМБО  </t>
    </r>
    <r>
      <rPr>
        <sz val="11"/>
        <color theme="1"/>
        <rFont val="Times New Roman"/>
        <family val="1"/>
        <charset val="204"/>
      </rPr>
      <t xml:space="preserve"> 
12. Открытое первенство города Пыть-Яха, посвящённое Дню защитника Отечества;   13. Открытый региональный турнир среди юношей и девушек до 15 лет, посвящённый Дню Великой Победы; 
</t>
    </r>
    <r>
      <rPr>
        <b/>
        <sz val="11"/>
        <color theme="1"/>
        <rFont val="Times New Roman"/>
        <family val="1"/>
        <charset val="204"/>
      </rPr>
      <t xml:space="preserve">XXII Спартакиада среди производственных коллективов, организаций и учреждений города: 
</t>
    </r>
    <r>
      <rPr>
        <sz val="11"/>
        <color theme="1"/>
        <rFont val="Times New Roman"/>
        <family val="1"/>
        <charset val="204"/>
      </rPr>
      <t xml:space="preserve">14. Настольный теннис;   15. Силовое двоеборье;   16. Легкая атлетика;   17. Дартс
</t>
    </r>
    <r>
      <rPr>
        <b/>
        <sz val="11"/>
        <color theme="1"/>
        <rFont val="Times New Roman"/>
        <family val="1"/>
        <charset val="204"/>
      </rPr>
      <t>Исполнение составило - 40,7%</t>
    </r>
  </si>
  <si>
    <r>
      <t xml:space="preserve">На 30.06.2023 обеспечено участие в 13 официальных физкультурно - оздоровительных мероприятиях (план 28 мероприятий):
1. Чемпионат и первенство по легкой атлетике в зачет Параспартакиады ХМАО-Югры
</t>
    </r>
    <r>
      <rPr>
        <b/>
        <sz val="11"/>
        <rFont val="Times New Roman"/>
        <family val="1"/>
        <charset val="204"/>
      </rPr>
      <t xml:space="preserve">ШАШКИ </t>
    </r>
    <r>
      <rPr>
        <sz val="11"/>
        <rFont val="Times New Roman"/>
        <family val="1"/>
        <charset val="204"/>
      </rPr>
      <t xml:space="preserve">
2. ДКР, этап Кубка России 2023 года по шахматам  среди мальчиков и девочек до 9, 11, 13 лет и юношей и девушек до 15 лет «мемориала В.П.Яндемирова» г.Казань;   3. Первенство ХМАО-Югры по шахматам среди детей до 9 лет г.Ханты-Мансийск;   4. Открытое лично-командное первенство ХМАО-Югры по шахматам среди детских коллективов, памяти участника ВОВ Г.Н. Никонова
</t>
    </r>
    <r>
      <rPr>
        <b/>
        <sz val="11"/>
        <rFont val="Times New Roman"/>
        <family val="1"/>
        <charset val="204"/>
      </rPr>
      <t xml:space="preserve">ДЗЮДО и САМБО  </t>
    </r>
    <r>
      <rPr>
        <sz val="11"/>
        <rFont val="Times New Roman"/>
        <family val="1"/>
        <charset val="204"/>
      </rPr>
      <t xml:space="preserve">
5. Первенство ХМАО-Югры среди юношей и девушек до 15 лет  г.Радужный;   6. Первенство округа среди юношей и девушек до 13 лет, в зачёт V Спартакиады учащихся Ханты-Мансийского автономного округа - Югры "Спортивные таланты Югры" г.Нягань;   8. Первенство автономного округа среди юнишей и девушек 14-16 лет в зачёт XVII Спартакиады учащихся ХМАО-Югры, посвящённой 78 годовщине Победы в ВОВ;   9. Первенство ХМАО-Югры среди юношей и девушек до 18 лет, в зачёт VII Спартакиады учащихся Ханты-Мансийского автономного округа-Югра, посвящённой 78 годовщине Победы в ВОВ по дзюдо;    9. Всероссийский турнир среди юношей и девушек 14-16 лет, посвящённый памяти ЗТР П.А. Литвиненко;   10. Первенство УФО среди юношей и девушек 12-14 лет;   11. Первенство Уральского Федерального Округа по самбо среди юношей и девушек
</t>
    </r>
    <r>
      <rPr>
        <b/>
        <sz val="11"/>
        <rFont val="Times New Roman"/>
        <family val="1"/>
        <charset val="204"/>
      </rPr>
      <t>ГРЕКО-РИМСКАЯ БОРЬБА</t>
    </r>
    <r>
      <rPr>
        <sz val="11"/>
        <rFont val="Times New Roman"/>
        <family val="1"/>
        <charset val="204"/>
      </rPr>
      <t xml:space="preserve">
12. Турнир памяти Героя Социалистического труда Ф.К. Салманова г. Сургут;    13. Первенство ХМАО-Югры по спортивной (греко-римской) борьбе среди юношей до 14 лет
</t>
    </r>
    <r>
      <rPr>
        <b/>
        <sz val="11"/>
        <rFont val="Times New Roman"/>
        <family val="1"/>
        <charset val="204"/>
      </rPr>
      <t xml:space="preserve">Исполнение составило - 34,6%        </t>
    </r>
    <r>
      <rPr>
        <sz val="11"/>
        <rFont val="Times New Roman"/>
        <family val="1"/>
        <charset val="204"/>
      </rPr>
      <t xml:space="preserve">                                                                                                           
</t>
    </r>
  </si>
  <si>
    <r>
      <t xml:space="preserve">Исполнение на 30.06.2023 составило – 15 772,2 тыс.руб. (5,3%) при плане 229 279,3 тыс.руб., из них:
- в рамках программы заключено Соглашение о предоставлении субсидии местному бюджету из бюджета Ханты-Мансийского автономного округа – Югры от 18.01.2022 № 14-ШД/2023 на софинансирование расходов муниципальных образований по развитию сети спортивных объектов шаговой доступности на сумму 908,6 тыс.руб. (ОБ - 863,1 тыс.руб., МБ - 45,5 тыс.руб.).  МАУ "Спортивный комплекс" был заключен договор № 49/2023 от 06.04.2023 "Интер-Югра" на поставку товара - система контроля и управления доступом ,в сумме 82,2 тыс. руб. Так же учреждением продолжается работа по определению поставщика на обеспечение комплексной безопасности объектов учреждения. Фактический расход на отчетную дату составил 0,0 тыс. руб.;
- поступили наказы избирателей Думы ХМАО-Югры от Елишева С.Е. в размере 150,0 тыс.руб. для МАУ "Спортивный комплекс" на приобретение экипировки для отделения дзюдо и самбо. В рамках реализации наказов избирателей на 30.06.2023 фактические расходы составили 150,0 тыс.руб. (приобретена экипировка для отделения дзюдо и самбо);
-  фактические расходы по субсидии в целях укрепления материально-технической базы учреждений спорта на отчетную дату составили – 668,9 тыс.руб. (61,5%) при уточненном плане 1 087,9 тыс.руб. (восстановлено: видеонаблюдение, пожарной сигнализации; произведён ремонт спортивных площадок; монтаж: кнопки тревожной сигнализации, пожарной сигнализации, системы видеонаблюдения; и др.)
- по направлению 011 МКУ «Управление капитального строительства г. Пыть-Ях» фактические расходы на отчетную дату составили - 14 953,3 тыс.руб. (5,0%) при уточненном плане 297 132,8 тыс.руб. 
</t>
    </r>
    <r>
      <rPr>
        <b/>
        <sz val="11"/>
        <rFont val="Times New Roman"/>
        <family val="1"/>
        <charset val="204"/>
      </rPr>
      <t xml:space="preserve">Исполнение составило -5,3%    </t>
    </r>
  </si>
  <si>
    <r>
      <t xml:space="preserve">Поступили наказы избирателей Думы ХМАО-Югры Елишев С.Е.в размере 250,0 тыс.руб. для МБУ ДО Спортивная школа на приобретение экипировки, рекламно-информационной продукции для отделения по мини-футболу, видеокамеры. В рамках реализации наказов избирателей на 30.06.2023 фактические расходы за счет АО составили 41,0 тыс.руб. (приобретена видеокамера и рекламно-информационный баннер). Заключен договор на поставку спортивной экипировки в размере 209,0 тыс.руб.                                                                                                                                                        
За счет средств МБ фактические расходы на 30.06.2023 составили: 
- по мероприятию "Приобретение инвентаря по видам спорта" -  997,2 тыс.руб. (МБУ ДО Спортивная школа расходы составили - 498,6 тыс.руб. (приобретен борцовский ковер), МБУ ДО Спортивная школа олимпийского резерва расходы составили - 498,6 тыс.руб. (приобретен борцовский ковер).
- по мероприятию "Архитектурно-художественное освещение зданий" направления 011 МКУ «Управление капитального строительства г. Пыть-Ях» фактические расходы на отчетную дату составили - 0,0 тыс.руб. (0,0%) при уточненном плане 7 709,5 тыс.руб. На отчетную дату средства законтрактованы. Работы по контракту ведутся. Подрядчик МКУ «Управление капитального строительства г. Пыть-Ях».                                                                                                                                                                                                 
</t>
    </r>
    <r>
      <rPr>
        <b/>
        <sz val="11"/>
        <rFont val="Times New Roman"/>
        <family val="1"/>
        <charset val="204"/>
      </rPr>
      <t>Исполнение составило -11,6%</t>
    </r>
  </si>
  <si>
    <t>А.И. Мусина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</si>
</sst>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quot;р.&quot;_-;\-* #,##0.00&quot;р.&quot;_-;_-* &quot;-&quot;??&quot;р.&quot;_-;_-@_-"/>
    <numFmt numFmtId="165" formatCode="#,##0.0"/>
    <numFmt numFmtId="166" formatCode="0.0"/>
  </numFmts>
  <fonts count="34" x14ac:knownFonts="1">
    <font>
      <sz val="11"/>
      <color theme="1"/>
      <name val="Calibri"/>
      <family val="2"/>
      <charset val="204"/>
      <scheme val="minor"/>
    </font>
    <font>
      <sz val="11"/>
      <color indexed="8"/>
      <name val="Calibri"/>
      <family val="2"/>
      <charset val="204"/>
    </font>
    <font>
      <sz val="8"/>
      <name val="Calibri"/>
      <family val="2"/>
      <charset val="204"/>
    </font>
    <font>
      <sz val="10"/>
      <name val="Times New Roman"/>
      <family val="1"/>
      <charset val="204"/>
    </font>
    <font>
      <sz val="10"/>
      <color theme="1"/>
      <name val="Calibri"/>
      <family val="2"/>
      <charset val="204"/>
      <scheme val="minor"/>
    </font>
    <font>
      <sz val="11"/>
      <color indexed="8"/>
      <name val="Times New Roman"/>
      <family val="1"/>
      <charset val="204"/>
    </font>
    <font>
      <sz val="11"/>
      <name val="Times New Roman"/>
      <family val="1"/>
      <charset val="204"/>
    </font>
    <font>
      <b/>
      <sz val="11"/>
      <name val="Times New Roman"/>
      <family val="1"/>
      <charset val="204"/>
    </font>
    <font>
      <sz val="11"/>
      <name val="Calibri"/>
      <family val="2"/>
      <charset val="204"/>
    </font>
    <font>
      <sz val="12"/>
      <name val="Calibri"/>
      <family val="2"/>
      <charset val="204"/>
    </font>
    <font>
      <sz val="12"/>
      <name val="Times New Roman"/>
      <family val="1"/>
      <charset val="204"/>
    </font>
    <font>
      <sz val="11"/>
      <name val="Calibri"/>
      <family val="2"/>
      <charset val="204"/>
      <scheme val="minor"/>
    </font>
    <font>
      <b/>
      <sz val="11"/>
      <name val="Calibri"/>
      <family val="2"/>
      <charset val="204"/>
      <scheme val="minor"/>
    </font>
    <font>
      <b/>
      <i/>
      <sz val="11"/>
      <color theme="1"/>
      <name val="Calibri"/>
      <family val="2"/>
      <charset val="204"/>
      <scheme val="minor"/>
    </font>
    <font>
      <b/>
      <i/>
      <u/>
      <sz val="11"/>
      <color theme="1"/>
      <name val="Calibri"/>
      <family val="2"/>
      <charset val="204"/>
      <scheme val="minor"/>
    </font>
    <font>
      <b/>
      <i/>
      <sz val="11"/>
      <name val="Times New Roman"/>
      <family val="1"/>
      <charset val="204"/>
    </font>
    <font>
      <b/>
      <u/>
      <sz val="11"/>
      <color theme="1"/>
      <name val="Calibri"/>
      <family val="2"/>
      <charset val="204"/>
      <scheme val="minor"/>
    </font>
    <font>
      <b/>
      <sz val="11"/>
      <color theme="1"/>
      <name val="Calibri"/>
      <family val="2"/>
      <charset val="204"/>
      <scheme val="minor"/>
    </font>
    <font>
      <b/>
      <sz val="12"/>
      <name val="Calibri"/>
      <family val="2"/>
      <charset val="204"/>
    </font>
    <font>
      <b/>
      <sz val="11"/>
      <color theme="0"/>
      <name val="Calibri"/>
      <family val="2"/>
      <charset val="204"/>
      <scheme val="minor"/>
    </font>
    <font>
      <sz val="11"/>
      <color theme="0"/>
      <name val="Calibri"/>
      <family val="2"/>
      <charset val="204"/>
      <scheme val="minor"/>
    </font>
    <font>
      <b/>
      <sz val="10"/>
      <color theme="0"/>
      <name val="Times New Roman"/>
      <family val="1"/>
      <charset val="204"/>
    </font>
    <font>
      <sz val="10"/>
      <color theme="0"/>
      <name val="Calibri"/>
      <family val="2"/>
      <charset val="204"/>
      <scheme val="minor"/>
    </font>
    <font>
      <b/>
      <sz val="14"/>
      <name val="Calibri"/>
      <family val="2"/>
      <charset val="204"/>
      <scheme val="minor"/>
    </font>
    <font>
      <b/>
      <sz val="14"/>
      <color theme="0"/>
      <name val="Calibri"/>
      <family val="2"/>
      <charset val="204"/>
      <scheme val="minor"/>
    </font>
    <font>
      <i/>
      <sz val="11"/>
      <name val="Times New Roman"/>
      <family val="1"/>
      <charset val="204"/>
    </font>
    <font>
      <b/>
      <sz val="12"/>
      <name val="Times New Roman"/>
      <family val="1"/>
      <charset val="204"/>
    </font>
    <font>
      <sz val="10"/>
      <name val="Calibri"/>
      <family val="2"/>
      <charset val="204"/>
      <scheme val="minor"/>
    </font>
    <font>
      <sz val="12"/>
      <color theme="0"/>
      <name val="Calibri"/>
      <family val="2"/>
      <charset val="204"/>
    </font>
    <font>
      <b/>
      <sz val="12"/>
      <color theme="0"/>
      <name val="Calibri"/>
      <family val="2"/>
      <charset val="204"/>
    </font>
    <font>
      <sz val="12"/>
      <color theme="0"/>
      <name val="Times New Roman"/>
      <family val="1"/>
      <charset val="204"/>
    </font>
    <font>
      <sz val="11"/>
      <color rgb="FFFF0000"/>
      <name val="Times New Roman"/>
      <family val="1"/>
      <charset val="204"/>
    </font>
    <font>
      <sz val="11"/>
      <color theme="1"/>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122">
    <xf numFmtId="0" fontId="0" fillId="0" borderId="0" xfId="0"/>
    <xf numFmtId="0" fontId="0" fillId="0" borderId="0" xfId="0" applyFill="1"/>
    <xf numFmtId="165" fontId="0" fillId="0" borderId="0" xfId="0" applyNumberFormat="1" applyFill="1"/>
    <xf numFmtId="0" fontId="6" fillId="0" borderId="1" xfId="0" applyFont="1" applyFill="1" applyBorder="1" applyAlignment="1">
      <alignment horizontal="center" vertical="center" textRotation="90" wrapText="1"/>
    </xf>
    <xf numFmtId="0" fontId="6" fillId="0" borderId="1" xfId="0" applyFont="1" applyFill="1" applyBorder="1" applyAlignment="1">
      <alignment horizontal="center" vertical="top"/>
    </xf>
    <xf numFmtId="49" fontId="7" fillId="0" borderId="1" xfId="0" applyNumberFormat="1" applyFont="1" applyFill="1" applyBorder="1" applyAlignment="1">
      <alignment horizontal="center" vertical="top"/>
    </xf>
    <xf numFmtId="0" fontId="9" fillId="0" borderId="0" xfId="0" applyFont="1" applyFill="1" applyAlignment="1">
      <alignment vertical="top"/>
    </xf>
    <xf numFmtId="165" fontId="9" fillId="0" borderId="0" xfId="0" applyNumberFormat="1" applyFont="1" applyFill="1" applyAlignment="1">
      <alignment vertical="top"/>
    </xf>
    <xf numFmtId="0" fontId="10" fillId="0" borderId="0" xfId="0" applyFont="1" applyFill="1" applyAlignment="1">
      <alignment vertical="top"/>
    </xf>
    <xf numFmtId="0" fontId="11" fillId="0" borderId="0" xfId="0" applyFont="1" applyFill="1"/>
    <xf numFmtId="165" fontId="7" fillId="0" borderId="8" xfId="0" applyNumberFormat="1" applyFont="1" applyFill="1" applyBorder="1" applyAlignment="1">
      <alignment horizontal="center" vertical="top"/>
    </xf>
    <xf numFmtId="165" fontId="3" fillId="0" borderId="0" xfId="0" applyNumberFormat="1" applyFont="1" applyFill="1" applyBorder="1" applyAlignment="1">
      <alignment horizontal="justify" vertical="top" wrapText="1"/>
    </xf>
    <xf numFmtId="0" fontId="4" fillId="0" borderId="0" xfId="0" applyFont="1" applyFill="1"/>
    <xf numFmtId="0" fontId="5" fillId="0" borderId="0" xfId="0" applyFont="1" applyFill="1" applyBorder="1" applyAlignment="1">
      <alignment horizontal="center" vertical="center" textRotation="90" wrapText="1"/>
    </xf>
    <xf numFmtId="0" fontId="14" fillId="0" borderId="0" xfId="0" applyFont="1" applyFill="1"/>
    <xf numFmtId="165" fontId="15" fillId="0" borderId="8" xfId="0" applyNumberFormat="1" applyFont="1" applyFill="1" applyBorder="1" applyAlignment="1">
      <alignment horizontal="center" vertical="top"/>
    </xf>
    <xf numFmtId="0" fontId="13" fillId="0" borderId="0" xfId="0" applyFont="1" applyFill="1" applyBorder="1"/>
    <xf numFmtId="165" fontId="13" fillId="0" borderId="0" xfId="0" applyNumberFormat="1" applyFont="1" applyFill="1"/>
    <xf numFmtId="0" fontId="16" fillId="0" borderId="0" xfId="0" applyFont="1" applyFill="1" applyBorder="1"/>
    <xf numFmtId="165" fontId="6" fillId="0" borderId="1" xfId="0" applyNumberFormat="1" applyFont="1" applyFill="1" applyBorder="1" applyAlignment="1">
      <alignment vertical="center" wrapText="1"/>
    </xf>
    <xf numFmtId="0" fontId="0" fillId="0" borderId="0" xfId="0" applyFill="1" applyAlignment="1">
      <alignment vertical="center"/>
    </xf>
    <xf numFmtId="49" fontId="7" fillId="0" borderId="1" xfId="1" applyNumberFormat="1" applyFont="1" applyFill="1" applyBorder="1" applyAlignment="1">
      <alignment horizontal="center" vertical="center" wrapText="1"/>
    </xf>
    <xf numFmtId="0" fontId="19" fillId="0" borderId="0" xfId="0" applyFont="1" applyFill="1"/>
    <xf numFmtId="0" fontId="20" fillId="0" borderId="0" xfId="0" applyFont="1" applyFill="1"/>
    <xf numFmtId="166" fontId="6" fillId="0" borderId="1" xfId="0" applyNumberFormat="1" applyFont="1" applyFill="1" applyBorder="1" applyAlignment="1">
      <alignment horizontal="center" vertical="top"/>
    </xf>
    <xf numFmtId="0" fontId="0" fillId="0" borderId="0" xfId="0" applyFill="1" applyAlignment="1">
      <alignment horizontal="left"/>
    </xf>
    <xf numFmtId="0" fontId="0" fillId="0" borderId="0" xfId="0" applyFill="1" applyAlignment="1">
      <alignment horizontal="left" vertical="center"/>
    </xf>
    <xf numFmtId="166" fontId="0" fillId="0" borderId="0" xfId="0" applyNumberFormat="1" applyFill="1" applyAlignment="1">
      <alignment horizontal="left"/>
    </xf>
    <xf numFmtId="165" fontId="21" fillId="0" borderId="0" xfId="0" applyNumberFormat="1" applyFont="1" applyFill="1" applyBorder="1" applyAlignment="1">
      <alignment horizontal="left" vertical="top" wrapText="1"/>
    </xf>
    <xf numFmtId="0" fontId="20" fillId="0" borderId="0" xfId="0" applyFont="1" applyFill="1" applyAlignment="1">
      <alignment horizontal="left"/>
    </xf>
    <xf numFmtId="166" fontId="6" fillId="0" borderId="1" xfId="0" applyNumberFormat="1" applyFont="1" applyFill="1" applyBorder="1" applyAlignment="1">
      <alignment horizontal="center" vertical="top" wrapText="1"/>
    </xf>
    <xf numFmtId="166" fontId="7" fillId="0" borderId="1" xfId="0" applyNumberFormat="1" applyFont="1" applyFill="1" applyBorder="1" applyAlignment="1">
      <alignment horizontal="center" vertical="top"/>
    </xf>
    <xf numFmtId="166" fontId="7"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49" fontId="6" fillId="0" borderId="1" xfId="1" applyNumberFormat="1" applyFont="1" applyFill="1" applyBorder="1" applyAlignment="1">
      <alignment horizontal="center" vertical="top"/>
    </xf>
    <xf numFmtId="0" fontId="17" fillId="0" borderId="0" xfId="0" applyFont="1" applyFill="1"/>
    <xf numFmtId="165" fontId="19" fillId="0" borderId="0" xfId="0" applyNumberFormat="1" applyFont="1" applyFill="1"/>
    <xf numFmtId="0" fontId="22" fillId="0" borderId="0" xfId="0" applyFont="1" applyFill="1"/>
    <xf numFmtId="165" fontId="18" fillId="0" borderId="0" xfId="0" applyNumberFormat="1" applyFont="1" applyFill="1" applyAlignment="1">
      <alignment vertical="top"/>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center" vertical="top"/>
    </xf>
    <xf numFmtId="0" fontId="12" fillId="0" borderId="0" xfId="0" applyFont="1" applyFill="1"/>
    <xf numFmtId="2" fontId="12" fillId="0" borderId="0" xfId="0" applyNumberFormat="1" applyFont="1" applyFill="1"/>
    <xf numFmtId="166" fontId="19" fillId="0" borderId="0" xfId="0" applyNumberFormat="1" applyFont="1" applyFill="1"/>
    <xf numFmtId="0" fontId="23" fillId="0" borderId="0" xfId="0" applyFont="1" applyFill="1"/>
    <xf numFmtId="166" fontId="24" fillId="0" borderId="0" xfId="0" applyNumberFormat="1" applyFont="1" applyFill="1"/>
    <xf numFmtId="0" fontId="7" fillId="0" borderId="1" xfId="0" applyFont="1" applyFill="1" applyBorder="1" applyAlignment="1">
      <alignment horizontal="center" vertical="center" textRotation="90"/>
    </xf>
    <xf numFmtId="166" fontId="7" fillId="0" borderId="2" xfId="0" applyNumberFormat="1" applyFont="1" applyFill="1" applyBorder="1" applyAlignment="1">
      <alignment horizontal="center" vertical="top" wrapText="1"/>
    </xf>
    <xf numFmtId="165" fontId="11" fillId="0" borderId="0" xfId="0" applyNumberFormat="1" applyFont="1" applyFill="1"/>
    <xf numFmtId="165" fontId="20" fillId="0" borderId="0" xfId="0" applyNumberFormat="1" applyFont="1" applyFill="1"/>
    <xf numFmtId="49" fontId="6" fillId="0" borderId="1" xfId="0" applyNumberFormat="1" applyFont="1" applyFill="1" applyBorder="1" applyAlignment="1">
      <alignment horizontal="center" vertical="top"/>
    </xf>
    <xf numFmtId="166"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top"/>
    </xf>
    <xf numFmtId="0" fontId="11" fillId="0" borderId="1" xfId="0" applyFont="1" applyFill="1" applyBorder="1"/>
    <xf numFmtId="165" fontId="3" fillId="0" borderId="0" xfId="0" applyNumberFormat="1" applyFont="1" applyFill="1" applyBorder="1" applyAlignment="1">
      <alignment horizontal="justify" vertical="top"/>
    </xf>
    <xf numFmtId="0" fontId="27" fillId="0" borderId="0" xfId="0" applyFont="1" applyFill="1"/>
    <xf numFmtId="165" fontId="28" fillId="0" borderId="0" xfId="0" applyNumberFormat="1" applyFont="1" applyFill="1" applyAlignment="1">
      <alignment vertical="top"/>
    </xf>
    <xf numFmtId="165" fontId="29" fillId="0" borderId="0" xfId="0" applyNumberFormat="1" applyFont="1" applyFill="1" applyAlignment="1">
      <alignment vertical="top"/>
    </xf>
    <xf numFmtId="0" fontId="28" fillId="0" borderId="0" xfId="0" applyFont="1" applyFill="1" applyAlignment="1">
      <alignment vertical="top"/>
    </xf>
    <xf numFmtId="0" fontId="29" fillId="0" borderId="0" xfId="0" applyFont="1" applyFill="1" applyAlignment="1">
      <alignment vertical="top"/>
    </xf>
    <xf numFmtId="166" fontId="6" fillId="0" borderId="2" xfId="0" applyNumberFormat="1" applyFont="1" applyFill="1" applyBorder="1" applyAlignment="1">
      <alignment horizontal="center" vertical="top"/>
    </xf>
    <xf numFmtId="166" fontId="7" fillId="0" borderId="2" xfId="0" applyNumberFormat="1" applyFont="1" applyFill="1" applyBorder="1" applyAlignment="1">
      <alignment horizontal="center" vertical="top"/>
    </xf>
    <xf numFmtId="166" fontId="6" fillId="0" borderId="2" xfId="0" applyNumberFormat="1" applyFont="1" applyFill="1" applyBorder="1" applyAlignment="1">
      <alignment horizontal="center" vertical="top" wrapText="1"/>
    </xf>
    <xf numFmtId="49" fontId="6" fillId="0" borderId="2" xfId="0" applyNumberFormat="1" applyFont="1" applyFill="1" applyBorder="1" applyAlignment="1">
      <alignment horizontal="center" vertical="top"/>
    </xf>
    <xf numFmtId="165" fontId="10" fillId="0" borderId="0" xfId="0" applyNumberFormat="1" applyFont="1" applyFill="1" applyAlignment="1">
      <alignment vertical="top"/>
    </xf>
    <xf numFmtId="0" fontId="10" fillId="0" borderId="0" xfId="0" applyFont="1" applyFill="1" applyBorder="1" applyAlignment="1">
      <alignment vertical="top"/>
    </xf>
    <xf numFmtId="0" fontId="9" fillId="0" borderId="0" xfId="0" applyFont="1" applyFill="1" applyBorder="1" applyAlignment="1">
      <alignment vertical="top"/>
    </xf>
    <xf numFmtId="0" fontId="28" fillId="0" borderId="0" xfId="0" applyFont="1" applyFill="1" applyBorder="1" applyAlignment="1">
      <alignment vertical="top"/>
    </xf>
    <xf numFmtId="165" fontId="30" fillId="0" borderId="0" xfId="0" applyNumberFormat="1" applyFont="1" applyFill="1" applyBorder="1" applyAlignment="1">
      <alignment vertical="top"/>
    </xf>
    <xf numFmtId="0" fontId="30" fillId="0" borderId="0" xfId="0" applyFont="1" applyFill="1" applyBorder="1" applyAlignment="1">
      <alignment vertical="top"/>
    </xf>
    <xf numFmtId="165" fontId="9" fillId="0" borderId="0" xfId="0" applyNumberFormat="1" applyFont="1" applyFill="1" applyBorder="1" applyAlignment="1">
      <alignment vertical="top"/>
    </xf>
    <xf numFmtId="0" fontId="11" fillId="0" borderId="0" xfId="0" applyFont="1" applyFill="1" applyBorder="1"/>
    <xf numFmtId="166" fontId="6" fillId="0" borderId="2" xfId="0" applyNumberFormat="1" applyFont="1" applyFill="1" applyBorder="1" applyAlignment="1">
      <alignment horizontal="center" vertical="top"/>
    </xf>
    <xf numFmtId="166" fontId="7" fillId="2" borderId="2" xfId="0" applyNumberFormat="1" applyFont="1" applyFill="1" applyBorder="1" applyAlignment="1">
      <alignment horizontal="center" vertical="top"/>
    </xf>
    <xf numFmtId="166" fontId="7" fillId="2" borderId="1" xfId="0" applyNumberFormat="1" applyFont="1" applyFill="1" applyBorder="1" applyAlignment="1">
      <alignment horizontal="center" vertical="top"/>
    </xf>
    <xf numFmtId="165" fontId="6" fillId="2" borderId="1" xfId="0" applyNumberFormat="1" applyFont="1" applyFill="1" applyBorder="1" applyAlignment="1">
      <alignment horizontal="justify" vertical="top" wrapText="1"/>
    </xf>
    <xf numFmtId="0" fontId="7" fillId="0" borderId="1" xfId="0" applyFont="1" applyFill="1" applyBorder="1" applyAlignment="1">
      <alignment vertical="top" wrapText="1"/>
    </xf>
    <xf numFmtId="165" fontId="7" fillId="0" borderId="1" xfId="0" applyNumberFormat="1" applyFont="1" applyFill="1" applyBorder="1" applyAlignment="1">
      <alignment horizontal="justify" vertical="top"/>
    </xf>
    <xf numFmtId="165" fontId="6" fillId="0" borderId="1" xfId="0" applyNumberFormat="1" applyFont="1" applyFill="1" applyBorder="1" applyAlignment="1">
      <alignment horizontal="justify" vertical="top"/>
    </xf>
    <xf numFmtId="165" fontId="7" fillId="0" borderId="1" xfId="0" applyNumberFormat="1" applyFont="1" applyFill="1" applyBorder="1" applyAlignment="1">
      <alignment horizontal="justify" vertical="top" wrapText="1"/>
    </xf>
    <xf numFmtId="165" fontId="6" fillId="0" borderId="1" xfId="0" applyNumberFormat="1" applyFont="1" applyFill="1" applyBorder="1" applyAlignment="1">
      <alignment horizontal="left" vertical="top" wrapText="1"/>
    </xf>
    <xf numFmtId="165" fontId="6" fillId="0" borderId="1" xfId="0" applyNumberFormat="1" applyFont="1" applyFill="1" applyBorder="1" applyAlignment="1">
      <alignment vertical="top" wrapText="1"/>
    </xf>
    <xf numFmtId="0" fontId="6" fillId="0" borderId="1" xfId="0" applyFont="1" applyFill="1" applyBorder="1" applyAlignment="1">
      <alignment horizontal="left" vertical="top" wrapText="1"/>
    </xf>
    <xf numFmtId="0" fontId="32" fillId="0" borderId="1" xfId="0" applyFont="1" applyFill="1" applyBorder="1" applyAlignment="1">
      <alignment vertical="top" wrapText="1"/>
    </xf>
    <xf numFmtId="166" fontId="32" fillId="0" borderId="1" xfId="0" applyNumberFormat="1" applyFont="1" applyFill="1" applyBorder="1" applyAlignment="1">
      <alignment horizontal="center" vertical="top"/>
    </xf>
    <xf numFmtId="165" fontId="6" fillId="0" borderId="1" xfId="0" applyNumberFormat="1" applyFont="1" applyFill="1" applyBorder="1" applyAlignment="1">
      <alignment horizontal="justify" vertical="top" wrapText="1"/>
    </xf>
    <xf numFmtId="0" fontId="32" fillId="0" borderId="1" xfId="0" applyFont="1" applyFill="1" applyBorder="1" applyAlignment="1">
      <alignment horizontal="left" vertical="top" wrapText="1"/>
    </xf>
    <xf numFmtId="0" fontId="10" fillId="0" borderId="0" xfId="0" applyFont="1" applyFill="1" applyAlignment="1">
      <alignment horizontal="center" vertical="top" wrapText="1"/>
    </xf>
    <xf numFmtId="0" fontId="10" fillId="0" borderId="0" xfId="0" applyFont="1" applyFill="1" applyBorder="1" applyAlignment="1">
      <alignment horizontal="center" vertical="top"/>
    </xf>
    <xf numFmtId="0" fontId="9" fillId="0" borderId="3" xfId="0" applyFont="1" applyFill="1" applyBorder="1" applyAlignment="1">
      <alignment horizontal="center" vertical="top" wrapText="1"/>
    </xf>
    <xf numFmtId="0" fontId="9" fillId="0" borderId="3" xfId="0" applyFont="1" applyFill="1" applyBorder="1" applyAlignment="1">
      <alignment horizontal="center" vertical="top"/>
    </xf>
    <xf numFmtId="0" fontId="6" fillId="0" borderId="2" xfId="0" applyFont="1" applyFill="1" applyBorder="1" applyAlignment="1">
      <alignment horizontal="center" vertical="top"/>
    </xf>
    <xf numFmtId="0" fontId="6" fillId="0" borderId="4" xfId="0" applyFont="1" applyFill="1" applyBorder="1" applyAlignment="1">
      <alignment horizontal="center" vertical="top"/>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xf>
    <xf numFmtId="0" fontId="8" fillId="0" borderId="6" xfId="0" applyFont="1" applyFill="1" applyBorder="1" applyAlignment="1">
      <alignment horizontal="center" vertical="top"/>
    </xf>
    <xf numFmtId="0" fontId="8" fillId="0" borderId="7" xfId="0" applyFont="1" applyFill="1" applyBorder="1" applyAlignment="1">
      <alignment horizontal="center" vertical="top"/>
    </xf>
    <xf numFmtId="0" fontId="6" fillId="0" borderId="6" xfId="0" applyFont="1" applyFill="1" applyBorder="1" applyAlignment="1">
      <alignment horizontal="center" vertical="top"/>
    </xf>
    <xf numFmtId="0" fontId="6" fillId="0" borderId="7" xfId="0" applyFont="1" applyFill="1" applyBorder="1" applyAlignment="1">
      <alignment horizontal="center" vertical="top"/>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166" fontId="7" fillId="0" borderId="5" xfId="0" applyNumberFormat="1" applyFont="1" applyFill="1" applyBorder="1" applyAlignment="1">
      <alignment horizontal="center" vertical="center" wrapText="1"/>
    </xf>
    <xf numFmtId="166" fontId="7" fillId="0" borderId="6" xfId="0" applyNumberFormat="1" applyFont="1" applyFill="1" applyBorder="1" applyAlignment="1">
      <alignment horizontal="center" vertical="center" wrapText="1"/>
    </xf>
    <xf numFmtId="166" fontId="7" fillId="0" borderId="7"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top"/>
    </xf>
    <xf numFmtId="49" fontId="7" fillId="0" borderId="6" xfId="0" applyNumberFormat="1" applyFont="1" applyFill="1" applyBorder="1" applyAlignment="1">
      <alignment horizontal="center" vertical="top"/>
    </xf>
    <xf numFmtId="49" fontId="7" fillId="0" borderId="7" xfId="0" applyNumberFormat="1" applyFont="1" applyFill="1" applyBorder="1" applyAlignment="1">
      <alignment horizontal="center" vertical="top"/>
    </xf>
    <xf numFmtId="49" fontId="7" fillId="0" borderId="5" xfId="0" applyNumberFormat="1" applyFont="1" applyFill="1" applyBorder="1" applyAlignment="1">
      <alignment horizontal="center" vertical="top" wrapText="1"/>
    </xf>
    <xf numFmtId="49" fontId="7" fillId="0" borderId="6" xfId="0" applyNumberFormat="1" applyFont="1" applyFill="1" applyBorder="1" applyAlignment="1">
      <alignment horizontal="center" vertical="top" wrapText="1"/>
    </xf>
    <xf numFmtId="49" fontId="7" fillId="0" borderId="7" xfId="0" applyNumberFormat="1" applyFont="1" applyFill="1" applyBorder="1" applyAlignment="1">
      <alignment horizontal="center" vertical="top" wrapText="1"/>
    </xf>
    <xf numFmtId="165" fontId="6" fillId="0" borderId="2" xfId="0" applyNumberFormat="1" applyFont="1" applyFill="1" applyBorder="1" applyAlignment="1">
      <alignment horizontal="left" vertical="top" wrapText="1"/>
    </xf>
    <xf numFmtId="165" fontId="31" fillId="0" borderId="4"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xf>
    <xf numFmtId="49" fontId="6" fillId="0" borderId="4" xfId="0" applyNumberFormat="1" applyFont="1" applyFill="1" applyBorder="1" applyAlignment="1">
      <alignment horizontal="center" vertical="top"/>
    </xf>
    <xf numFmtId="166" fontId="6" fillId="0" borderId="2" xfId="0" applyNumberFormat="1" applyFont="1" applyFill="1" applyBorder="1" applyAlignment="1">
      <alignment horizontal="center" vertical="top" wrapText="1"/>
    </xf>
    <xf numFmtId="166" fontId="6" fillId="0" borderId="4"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xf>
    <xf numFmtId="166" fontId="7" fillId="0" borderId="4" xfId="0" applyNumberFormat="1" applyFont="1" applyFill="1" applyBorder="1" applyAlignment="1">
      <alignment horizontal="center" vertical="top"/>
    </xf>
    <xf numFmtId="166" fontId="6" fillId="0" borderId="2" xfId="0" applyNumberFormat="1" applyFont="1" applyFill="1" applyBorder="1" applyAlignment="1">
      <alignment horizontal="center" vertical="top"/>
    </xf>
    <xf numFmtId="166" fontId="6" fillId="0" borderId="4" xfId="0" applyNumberFormat="1" applyFont="1" applyFill="1" applyBorder="1" applyAlignment="1">
      <alignment horizontal="center" vertical="top"/>
    </xf>
  </cellXfs>
  <cellStyles count="2">
    <cellStyle name="Денежный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tabSelected="1" view="pageBreakPreview" topLeftCell="A28" zoomScale="82" zoomScaleNormal="82" zoomScaleSheetLayoutView="82" workbookViewId="0">
      <selection activeCell="C35" sqref="C35:E35"/>
    </sheetView>
  </sheetViews>
  <sheetFormatPr defaultColWidth="9.140625" defaultRowHeight="15" x14ac:dyDescent="0.25"/>
  <cols>
    <col min="1" max="1" width="11.5703125" style="9" bestFit="1" customWidth="1"/>
    <col min="2" max="2" width="37.140625" style="9" customWidth="1"/>
    <col min="3" max="3" width="11.28515625" style="41" customWidth="1"/>
    <col min="4" max="4" width="9.140625" style="9" customWidth="1"/>
    <col min="5" max="5" width="10.42578125" style="9" customWidth="1"/>
    <col min="6" max="6" width="10.85546875" style="9" customWidth="1"/>
    <col min="7" max="7" width="9.140625" style="9"/>
    <col min="8" max="8" width="13.5703125" style="41" customWidth="1"/>
    <col min="9" max="9" width="10.42578125" style="9" bestFit="1" customWidth="1"/>
    <col min="10" max="10" width="9.140625" style="9"/>
    <col min="11" max="11" width="11.28515625" style="9" customWidth="1"/>
    <col min="12" max="12" width="9.140625" style="9"/>
    <col min="13" max="13" width="13.42578125" style="35" customWidth="1"/>
    <col min="14" max="14" width="9.140625" style="1"/>
    <col min="15" max="15" width="10.7109375" style="1" bestFit="1" customWidth="1"/>
    <col min="16" max="16" width="11.7109375" style="1" customWidth="1"/>
    <col min="17" max="17" width="12.28515625" style="1" customWidth="1"/>
    <col min="18" max="18" width="154.140625" style="12" customWidth="1"/>
    <col min="19" max="19" width="10.42578125" style="1" hidden="1" customWidth="1"/>
    <col min="20" max="20" width="12.5703125" style="1" hidden="1" customWidth="1"/>
    <col min="21" max="21" width="13.5703125" style="1" hidden="1" customWidth="1"/>
    <col min="22" max="22" width="9.7109375" style="1" hidden="1" customWidth="1"/>
    <col min="23" max="25" width="9.140625" style="1" hidden="1" customWidth="1"/>
    <col min="26" max="26" width="0" style="1" hidden="1" customWidth="1"/>
    <col min="27" max="27" width="6.42578125" style="25" customWidth="1"/>
    <col min="28" max="29" width="9.140625" style="25"/>
    <col min="30" max="30" width="15.5703125" style="25" customWidth="1"/>
    <col min="31" max="16384" width="9.140625" style="1"/>
  </cols>
  <sheetData>
    <row r="1" spans="1:30" ht="48.75" customHeight="1" x14ac:dyDescent="0.25">
      <c r="A1" s="89" t="s">
        <v>60</v>
      </c>
      <c r="B1" s="90"/>
      <c r="C1" s="90"/>
      <c r="D1" s="90"/>
      <c r="E1" s="90"/>
      <c r="F1" s="90"/>
      <c r="G1" s="90"/>
      <c r="H1" s="90"/>
      <c r="I1" s="90"/>
      <c r="J1" s="90"/>
      <c r="K1" s="90"/>
      <c r="L1" s="90"/>
      <c r="M1" s="90"/>
      <c r="N1" s="90"/>
      <c r="O1" s="90"/>
      <c r="P1" s="90"/>
      <c r="Q1" s="90"/>
      <c r="R1" s="90"/>
    </row>
    <row r="2" spans="1:30" x14ac:dyDescent="0.25">
      <c r="A2" s="91" t="s">
        <v>0</v>
      </c>
      <c r="B2" s="93" t="s">
        <v>1</v>
      </c>
      <c r="C2" s="95" t="s">
        <v>2</v>
      </c>
      <c r="D2" s="96"/>
      <c r="E2" s="96"/>
      <c r="F2" s="96"/>
      <c r="G2" s="97"/>
      <c r="H2" s="95" t="s">
        <v>3</v>
      </c>
      <c r="I2" s="98"/>
      <c r="J2" s="98"/>
      <c r="K2" s="98"/>
      <c r="L2" s="99"/>
      <c r="M2" s="95" t="s">
        <v>4</v>
      </c>
      <c r="N2" s="98"/>
      <c r="O2" s="98"/>
      <c r="P2" s="98"/>
      <c r="Q2" s="99"/>
      <c r="R2" s="93" t="s">
        <v>5</v>
      </c>
    </row>
    <row r="3" spans="1:30" ht="59.25" x14ac:dyDescent="0.25">
      <c r="A3" s="92"/>
      <c r="B3" s="94"/>
      <c r="C3" s="46" t="s">
        <v>6</v>
      </c>
      <c r="D3" s="3" t="s">
        <v>7</v>
      </c>
      <c r="E3" s="3" t="s">
        <v>11</v>
      </c>
      <c r="F3" s="3" t="s">
        <v>12</v>
      </c>
      <c r="G3" s="3" t="s">
        <v>13</v>
      </c>
      <c r="H3" s="39" t="s">
        <v>6</v>
      </c>
      <c r="I3" s="3" t="s">
        <v>7</v>
      </c>
      <c r="J3" s="3" t="s">
        <v>11</v>
      </c>
      <c r="K3" s="3" t="s">
        <v>12</v>
      </c>
      <c r="L3" s="3" t="s">
        <v>13</v>
      </c>
      <c r="M3" s="39" t="s">
        <v>6</v>
      </c>
      <c r="N3" s="3" t="s">
        <v>7</v>
      </c>
      <c r="O3" s="3" t="s">
        <v>11</v>
      </c>
      <c r="P3" s="3" t="s">
        <v>12</v>
      </c>
      <c r="Q3" s="3" t="s">
        <v>13</v>
      </c>
      <c r="R3" s="94"/>
      <c r="S3" s="13" t="s">
        <v>19</v>
      </c>
      <c r="T3" s="13" t="s">
        <v>20</v>
      </c>
      <c r="U3" s="13" t="s">
        <v>21</v>
      </c>
    </row>
    <row r="4" spans="1:30" x14ac:dyDescent="0.25">
      <c r="A4" s="4">
        <v>1</v>
      </c>
      <c r="B4" s="4">
        <v>2</v>
      </c>
      <c r="C4" s="40">
        <v>3</v>
      </c>
      <c r="D4" s="4">
        <v>4</v>
      </c>
      <c r="E4" s="4">
        <v>5</v>
      </c>
      <c r="F4" s="4">
        <v>6</v>
      </c>
      <c r="G4" s="4">
        <v>7</v>
      </c>
      <c r="H4" s="40">
        <v>8</v>
      </c>
      <c r="I4" s="4">
        <v>9</v>
      </c>
      <c r="J4" s="4">
        <v>10</v>
      </c>
      <c r="K4" s="4">
        <v>11</v>
      </c>
      <c r="L4" s="4">
        <v>12</v>
      </c>
      <c r="M4" s="40">
        <v>13</v>
      </c>
      <c r="N4" s="4">
        <v>14</v>
      </c>
      <c r="O4" s="4">
        <v>15</v>
      </c>
      <c r="P4" s="4">
        <v>16</v>
      </c>
      <c r="Q4" s="4">
        <v>17</v>
      </c>
      <c r="R4" s="4">
        <v>18</v>
      </c>
    </row>
    <row r="5" spans="1:30" s="20" customFormat="1" ht="24.75" customHeight="1" x14ac:dyDescent="0.25">
      <c r="A5" s="21"/>
      <c r="B5" s="100" t="s">
        <v>45</v>
      </c>
      <c r="C5" s="101"/>
      <c r="D5" s="101"/>
      <c r="E5" s="101"/>
      <c r="F5" s="101"/>
      <c r="G5" s="101"/>
      <c r="H5" s="101"/>
      <c r="I5" s="101"/>
      <c r="J5" s="101"/>
      <c r="K5" s="101"/>
      <c r="L5" s="101"/>
      <c r="M5" s="101"/>
      <c r="N5" s="101"/>
      <c r="O5" s="101"/>
      <c r="P5" s="101"/>
      <c r="Q5" s="102"/>
      <c r="R5" s="19"/>
      <c r="AA5" s="26"/>
      <c r="AB5" s="26"/>
      <c r="AC5" s="26"/>
      <c r="AD5" s="26"/>
    </row>
    <row r="6" spans="1:30" ht="30" x14ac:dyDescent="0.25">
      <c r="A6" s="34" t="s">
        <v>30</v>
      </c>
      <c r="B6" s="30" t="s">
        <v>34</v>
      </c>
      <c r="C6" s="31"/>
      <c r="D6" s="24"/>
      <c r="E6" s="24"/>
      <c r="F6" s="24"/>
      <c r="G6" s="24"/>
      <c r="H6" s="31"/>
      <c r="I6" s="24"/>
      <c r="J6" s="24"/>
      <c r="K6" s="24"/>
      <c r="L6" s="24"/>
      <c r="M6" s="31"/>
      <c r="N6" s="24"/>
      <c r="O6" s="24"/>
      <c r="P6" s="24"/>
      <c r="Q6" s="24"/>
      <c r="R6" s="33"/>
      <c r="AB6" s="27"/>
    </row>
    <row r="7" spans="1:30" ht="185.25" customHeight="1" x14ac:dyDescent="0.25">
      <c r="A7" s="34" t="s">
        <v>53</v>
      </c>
      <c r="B7" s="30" t="s">
        <v>27</v>
      </c>
      <c r="C7" s="31">
        <f>D7+E7+F7+G7</f>
        <v>359.4</v>
      </c>
      <c r="D7" s="24">
        <v>0</v>
      </c>
      <c r="E7" s="24">
        <v>0</v>
      </c>
      <c r="F7" s="24">
        <v>359.4</v>
      </c>
      <c r="G7" s="24">
        <v>0</v>
      </c>
      <c r="H7" s="31">
        <f>I7+J7+K7+L7</f>
        <v>359.4</v>
      </c>
      <c r="I7" s="24">
        <v>0</v>
      </c>
      <c r="J7" s="24">
        <v>0</v>
      </c>
      <c r="K7" s="24">
        <v>359.4</v>
      </c>
      <c r="L7" s="24">
        <v>0</v>
      </c>
      <c r="M7" s="31">
        <f>N7+O7+P7+Q7</f>
        <v>162.4</v>
      </c>
      <c r="N7" s="24">
        <v>0</v>
      </c>
      <c r="O7" s="24">
        <v>0</v>
      </c>
      <c r="P7" s="24">
        <f>ROUND(162377/1000,1)</f>
        <v>162.4</v>
      </c>
      <c r="Q7" s="24">
        <v>0</v>
      </c>
      <c r="R7" s="86" t="s">
        <v>72</v>
      </c>
      <c r="S7" s="1">
        <f>P7/K7*100</f>
        <v>45.186421814134675</v>
      </c>
      <c r="T7" s="1" t="e">
        <f t="shared" ref="T7" si="0">O7/J7*100</f>
        <v>#DIV/0!</v>
      </c>
      <c r="U7" s="1" t="e">
        <f>Q7/G7*100</f>
        <v>#DIV/0!</v>
      </c>
      <c r="AB7" s="27">
        <f>M7/H7*100</f>
        <v>45.186421814134675</v>
      </c>
    </row>
    <row r="8" spans="1:30" ht="348" customHeight="1" x14ac:dyDescent="0.25">
      <c r="A8" s="34" t="s">
        <v>33</v>
      </c>
      <c r="B8" s="30" t="s">
        <v>26</v>
      </c>
      <c r="C8" s="31">
        <f>D8+E8+F8+G8</f>
        <v>930.1</v>
      </c>
      <c r="D8" s="24">
        <v>0</v>
      </c>
      <c r="E8" s="24">
        <v>0</v>
      </c>
      <c r="F8" s="24">
        <v>930.1</v>
      </c>
      <c r="G8" s="24">
        <v>0</v>
      </c>
      <c r="H8" s="31">
        <f>I8+J8+K8+L8</f>
        <v>930.1</v>
      </c>
      <c r="I8" s="24">
        <v>0</v>
      </c>
      <c r="J8" s="24">
        <v>0</v>
      </c>
      <c r="K8" s="24">
        <v>930.1</v>
      </c>
      <c r="L8" s="24">
        <v>0</v>
      </c>
      <c r="M8" s="31">
        <f t="shared" ref="M8:M12" si="1">N8+O8+P8+Q8</f>
        <v>378.8</v>
      </c>
      <c r="N8" s="24">
        <v>0</v>
      </c>
      <c r="O8" s="24">
        <v>0</v>
      </c>
      <c r="P8" s="24">
        <f>ROUND(378762/1000,1)</f>
        <v>378.8</v>
      </c>
      <c r="Q8" s="24">
        <v>0</v>
      </c>
      <c r="R8" s="83" t="s">
        <v>73</v>
      </c>
      <c r="S8" s="1">
        <f>P8/K8*100</f>
        <v>40.726803569508654</v>
      </c>
      <c r="T8" s="1" t="e">
        <f>O8/J8*100</f>
        <v>#DIV/0!</v>
      </c>
      <c r="U8" s="1" t="e">
        <f>Q8/G8*100</f>
        <v>#DIV/0!</v>
      </c>
      <c r="AB8" s="27">
        <f>M8/H8*100</f>
        <v>40.726803569508654</v>
      </c>
    </row>
    <row r="9" spans="1:30" ht="258" customHeight="1" x14ac:dyDescent="0.25">
      <c r="A9" s="34" t="s">
        <v>29</v>
      </c>
      <c r="B9" s="30" t="s">
        <v>28</v>
      </c>
      <c r="C9" s="31">
        <f t="shared" ref="C9" si="2">D9+E9+F9+G9</f>
        <v>1249.9000000000001</v>
      </c>
      <c r="D9" s="24">
        <v>0</v>
      </c>
      <c r="E9" s="24">
        <v>0</v>
      </c>
      <c r="F9" s="24">
        <v>1249.9000000000001</v>
      </c>
      <c r="G9" s="24">
        <v>0</v>
      </c>
      <c r="H9" s="31">
        <f>I9+K9+L9</f>
        <v>1249.9000000000001</v>
      </c>
      <c r="I9" s="24">
        <v>0</v>
      </c>
      <c r="J9" s="24">
        <v>0</v>
      </c>
      <c r="K9" s="24">
        <v>1249.9000000000001</v>
      </c>
      <c r="L9" s="24">
        <f t="shared" ref="L9" si="3">G9</f>
        <v>0</v>
      </c>
      <c r="M9" s="31">
        <f t="shared" si="1"/>
        <v>433</v>
      </c>
      <c r="N9" s="24">
        <v>0</v>
      </c>
      <c r="O9" s="24">
        <v>0</v>
      </c>
      <c r="P9" s="24">
        <f>ROUND(433043.1/1000,1)</f>
        <v>433</v>
      </c>
      <c r="Q9" s="24">
        <v>0</v>
      </c>
      <c r="R9" s="82" t="s">
        <v>74</v>
      </c>
      <c r="S9" s="1" t="e">
        <f>P9/#REF!*100</f>
        <v>#REF!</v>
      </c>
      <c r="T9" s="1">
        <f>O9/K9*100</f>
        <v>0</v>
      </c>
      <c r="U9" s="1" t="e">
        <f t="shared" ref="U9:U12" si="4">Q9/G9*100</f>
        <v>#DIV/0!</v>
      </c>
      <c r="AB9" s="27">
        <f t="shared" ref="AB9:AB11" si="5">M9/H9*100</f>
        <v>34.642771421713739</v>
      </c>
    </row>
    <row r="10" spans="1:30" ht="105" x14ac:dyDescent="0.25">
      <c r="A10" s="34" t="s">
        <v>54</v>
      </c>
      <c r="B10" s="30" t="s">
        <v>31</v>
      </c>
      <c r="C10" s="31">
        <f>D10+E10+F10+G10</f>
        <v>38140</v>
      </c>
      <c r="D10" s="24">
        <v>0</v>
      </c>
      <c r="E10" s="24">
        <v>0</v>
      </c>
      <c r="F10" s="24">
        <v>37340</v>
      </c>
      <c r="G10" s="24">
        <v>800</v>
      </c>
      <c r="H10" s="31">
        <f>I10+J10+K10+L10</f>
        <v>68837</v>
      </c>
      <c r="I10" s="24">
        <v>0</v>
      </c>
      <c r="J10" s="24">
        <v>0</v>
      </c>
      <c r="K10" s="24">
        <f>ROUND((30239901.95+616400+35953000+627700+1200000+200000)/1000,1)</f>
        <v>68837</v>
      </c>
      <c r="L10" s="24">
        <v>0</v>
      </c>
      <c r="M10" s="31">
        <f>N10+O10+P10+Q10</f>
        <v>28092.799999999999</v>
      </c>
      <c r="N10" s="24">
        <v>0</v>
      </c>
      <c r="O10" s="24">
        <v>0</v>
      </c>
      <c r="P10" s="24">
        <f>ROUND((8495067.01+112489.95+16575417.31+93000)/1000,1)</f>
        <v>25276</v>
      </c>
      <c r="Q10" s="84">
        <f>ROUND((2816756.44)/1000,1)</f>
        <v>2816.8</v>
      </c>
      <c r="R10" s="83" t="s">
        <v>70</v>
      </c>
      <c r="S10" s="1">
        <f>P10/K10*100</f>
        <v>36.718625157981897</v>
      </c>
      <c r="T10" s="1" t="e">
        <f>O10/J10*100</f>
        <v>#DIV/0!</v>
      </c>
      <c r="U10" s="1">
        <f>Q10/G10*100</f>
        <v>352.1</v>
      </c>
      <c r="V10" s="1">
        <f>M10/C10</f>
        <v>0.73657052962768743</v>
      </c>
      <c r="W10" s="2"/>
      <c r="AB10" s="27">
        <f>M10/H10*100</f>
        <v>40.81061057280241</v>
      </c>
      <c r="AC10" s="25">
        <f>P10/K10*100</f>
        <v>36.718625157981897</v>
      </c>
      <c r="AD10" s="25" t="e">
        <f>Q10/L10*100</f>
        <v>#DIV/0!</v>
      </c>
    </row>
    <row r="11" spans="1:30" ht="60" x14ac:dyDescent="0.25">
      <c r="A11" s="50" t="s">
        <v>55</v>
      </c>
      <c r="B11" s="30" t="s">
        <v>32</v>
      </c>
      <c r="C11" s="31">
        <f>D11+E11+F11+G11</f>
        <v>4754.3</v>
      </c>
      <c r="D11" s="24">
        <v>0</v>
      </c>
      <c r="E11" s="24">
        <v>0</v>
      </c>
      <c r="F11" s="24">
        <v>4754.3</v>
      </c>
      <c r="G11" s="24">
        <v>0</v>
      </c>
      <c r="H11" s="31">
        <f>I11+J11+K11+L11</f>
        <v>6765.5</v>
      </c>
      <c r="I11" s="24">
        <v>0</v>
      </c>
      <c r="J11" s="24">
        <v>0</v>
      </c>
      <c r="K11" s="24">
        <f>ROUND((1726410+284790+4754300)/1000,1)</f>
        <v>6765.5</v>
      </c>
      <c r="L11" s="24">
        <v>0</v>
      </c>
      <c r="M11" s="31">
        <f>N11+O11+P11+Q11</f>
        <v>2493.1</v>
      </c>
      <c r="N11" s="24">
        <v>0</v>
      </c>
      <c r="O11" s="24">
        <v>0</v>
      </c>
      <c r="P11" s="24">
        <f>ROUND((872880+284790+1335414.58)/1000,1)</f>
        <v>2493.1</v>
      </c>
      <c r="Q11" s="24">
        <v>0</v>
      </c>
      <c r="R11" s="85" t="s">
        <v>65</v>
      </c>
      <c r="S11" s="1">
        <f t="shared" ref="S11:S12" si="6">P11/K11*100</f>
        <v>36.850195846574529</v>
      </c>
      <c r="T11" s="1" t="e">
        <f>O11/J11*100</f>
        <v>#DIV/0!</v>
      </c>
      <c r="U11" s="1" t="e">
        <f t="shared" si="4"/>
        <v>#DIV/0!</v>
      </c>
      <c r="AB11" s="27">
        <f t="shared" si="5"/>
        <v>36.850195846574529</v>
      </c>
    </row>
    <row r="12" spans="1:30" ht="231" customHeight="1" x14ac:dyDescent="0.25">
      <c r="A12" s="50" t="s">
        <v>56</v>
      </c>
      <c r="B12" s="30" t="s">
        <v>47</v>
      </c>
      <c r="C12" s="31">
        <f t="shared" ref="C12" si="7">D12+E12+F12+G12</f>
        <v>908.6</v>
      </c>
      <c r="D12" s="24">
        <v>0</v>
      </c>
      <c r="E12" s="24">
        <v>863.1</v>
      </c>
      <c r="F12" s="24">
        <v>45.5</v>
      </c>
      <c r="G12" s="24">
        <v>0</v>
      </c>
      <c r="H12" s="31">
        <f>J12+K12+L12</f>
        <v>299279.3</v>
      </c>
      <c r="I12" s="24">
        <v>0</v>
      </c>
      <c r="J12" s="24">
        <f>ROUND((863100+150000)/1000,1)</f>
        <v>1013.1</v>
      </c>
      <c r="K12" s="24">
        <f>ROUND((7981783.38+21857932.78+2741065.38+56409797.56+125000000+67771000+15371226.2+423739+419000+245198+45500)/1000,1)</f>
        <v>298266.2</v>
      </c>
      <c r="L12" s="24">
        <v>0</v>
      </c>
      <c r="M12" s="31">
        <f t="shared" si="1"/>
        <v>15772.2</v>
      </c>
      <c r="N12" s="24">
        <v>0</v>
      </c>
      <c r="O12" s="24">
        <f>ROUND((150000)/1000,1)</f>
        <v>150</v>
      </c>
      <c r="P12" s="24">
        <f>ROUND((14953251.74+423739+245198)/1000,1)</f>
        <v>15622.2</v>
      </c>
      <c r="Q12" s="24">
        <v>0</v>
      </c>
      <c r="R12" s="80" t="s">
        <v>75</v>
      </c>
      <c r="S12" s="1">
        <f t="shared" si="6"/>
        <v>5.2376702422198695</v>
      </c>
      <c r="T12" s="1">
        <f t="shared" ref="T12" si="8">O12/J12*100</f>
        <v>14.806040864672788</v>
      </c>
      <c r="U12" s="1" t="e">
        <f t="shared" si="4"/>
        <v>#DIV/0!</v>
      </c>
      <c r="AB12" s="27">
        <f>M12/H12*100</f>
        <v>5.270060441868182</v>
      </c>
    </row>
    <row r="13" spans="1:30" ht="19.5" customHeight="1" x14ac:dyDescent="0.25">
      <c r="A13" s="5"/>
      <c r="B13" s="32" t="s">
        <v>8</v>
      </c>
      <c r="C13" s="31">
        <f>SUM(C7:C12)</f>
        <v>46342.3</v>
      </c>
      <c r="D13" s="31">
        <f>SUM(D8:D12)</f>
        <v>0</v>
      </c>
      <c r="E13" s="31">
        <f>SUM(E8:E12)</f>
        <v>863.1</v>
      </c>
      <c r="F13" s="31">
        <f>SUM(F7:F12)</f>
        <v>44679.200000000004</v>
      </c>
      <c r="G13" s="31">
        <f>SUM(G8:G12)</f>
        <v>800</v>
      </c>
      <c r="H13" s="74">
        <f>J13+K13+L13</f>
        <v>377421.19999999995</v>
      </c>
      <c r="I13" s="31">
        <f>SUM(I8:I12)</f>
        <v>0</v>
      </c>
      <c r="J13" s="31">
        <f t="shared" ref="J13:Q13" si="9">SUM(J5:J12)</f>
        <v>1013.1</v>
      </c>
      <c r="K13" s="31">
        <f t="shared" si="9"/>
        <v>376408.1</v>
      </c>
      <c r="L13" s="31">
        <f t="shared" si="9"/>
        <v>0</v>
      </c>
      <c r="M13" s="74">
        <f>SUM(M5:M12)</f>
        <v>47332.3</v>
      </c>
      <c r="N13" s="31">
        <f t="shared" si="9"/>
        <v>0</v>
      </c>
      <c r="O13" s="31">
        <f t="shared" si="9"/>
        <v>150</v>
      </c>
      <c r="P13" s="31">
        <f t="shared" si="9"/>
        <v>44365.5</v>
      </c>
      <c r="Q13" s="31">
        <f t="shared" si="9"/>
        <v>2816.8</v>
      </c>
      <c r="R13" s="77" t="s">
        <v>64</v>
      </c>
      <c r="S13" s="1">
        <f>P13/K13*100</f>
        <v>11.78654231936029</v>
      </c>
      <c r="T13" s="1">
        <f>O13/J13*100</f>
        <v>14.806040864672788</v>
      </c>
      <c r="U13" s="1">
        <f>Q13/G13*100</f>
        <v>352.1</v>
      </c>
      <c r="AA13" s="25">
        <f>M13/H13*100</f>
        <v>12.540975440701265</v>
      </c>
      <c r="AC13" s="27"/>
    </row>
    <row r="14" spans="1:30" ht="30" customHeight="1" x14ac:dyDescent="0.25">
      <c r="A14" s="21"/>
      <c r="B14" s="103" t="s">
        <v>46</v>
      </c>
      <c r="C14" s="104"/>
      <c r="D14" s="104"/>
      <c r="E14" s="104"/>
      <c r="F14" s="104"/>
      <c r="G14" s="104"/>
      <c r="H14" s="104"/>
      <c r="I14" s="104"/>
      <c r="J14" s="104"/>
      <c r="K14" s="104"/>
      <c r="L14" s="104"/>
      <c r="M14" s="104"/>
      <c r="N14" s="104"/>
      <c r="O14" s="104"/>
      <c r="P14" s="104"/>
      <c r="Q14" s="105"/>
      <c r="R14" s="81"/>
      <c r="S14" s="14">
        <f>M13/H13*100</f>
        <v>12.540975440701265</v>
      </c>
      <c r="AB14" s="27"/>
      <c r="AC14" s="27"/>
    </row>
    <row r="15" spans="1:30" ht="30" customHeight="1" x14ac:dyDescent="0.25">
      <c r="A15" s="50" t="s">
        <v>24</v>
      </c>
      <c r="B15" s="30" t="s">
        <v>34</v>
      </c>
      <c r="C15" s="51"/>
      <c r="D15" s="51"/>
      <c r="E15" s="51"/>
      <c r="F15" s="51"/>
      <c r="G15" s="51"/>
      <c r="H15" s="51"/>
      <c r="I15" s="51"/>
      <c r="J15" s="51"/>
      <c r="K15" s="51"/>
      <c r="L15" s="51"/>
      <c r="M15" s="51"/>
      <c r="N15" s="51"/>
      <c r="O15" s="51"/>
      <c r="P15" s="51"/>
      <c r="Q15" s="51"/>
      <c r="R15" s="81"/>
      <c r="S15" s="14"/>
      <c r="AB15" s="27"/>
      <c r="AC15" s="27"/>
    </row>
    <row r="16" spans="1:30" ht="165" x14ac:dyDescent="0.25">
      <c r="A16" s="50" t="s">
        <v>48</v>
      </c>
      <c r="B16" s="30" t="s">
        <v>23</v>
      </c>
      <c r="C16" s="31">
        <f>D16+E16+F16</f>
        <v>243.89999999999998</v>
      </c>
      <c r="D16" s="24">
        <v>104.3</v>
      </c>
      <c r="E16" s="24">
        <v>127.4</v>
      </c>
      <c r="F16" s="24">
        <v>12.2</v>
      </c>
      <c r="G16" s="24">
        <v>0</v>
      </c>
      <c r="H16" s="31">
        <f>I16+J16+K16+L16</f>
        <v>243.89999999999998</v>
      </c>
      <c r="I16" s="24">
        <v>104.3</v>
      </c>
      <c r="J16" s="24">
        <v>127.4</v>
      </c>
      <c r="K16" s="24">
        <v>12.2</v>
      </c>
      <c r="L16" s="24">
        <v>0</v>
      </c>
      <c r="M16" s="31">
        <f>N16+O16+P16+Q16</f>
        <v>243.89999999999998</v>
      </c>
      <c r="N16" s="24">
        <f>ROUND((104264.28)/1000,1)</f>
        <v>104.3</v>
      </c>
      <c r="O16" s="24">
        <f>ROUND((127435.72)/1000,1)</f>
        <v>127.4</v>
      </c>
      <c r="P16" s="24">
        <f>ROUND((12200)/1000,1)</f>
        <v>12.2</v>
      </c>
      <c r="Q16" s="24">
        <v>0</v>
      </c>
      <c r="R16" s="33" t="s">
        <v>71</v>
      </c>
      <c r="S16" s="1">
        <f t="shared" ref="S16:S23" si="10">P16/K16*100</f>
        <v>100</v>
      </c>
      <c r="T16" s="1">
        <f t="shared" ref="T16:T32" si="11">O16/J16*100</f>
        <v>100</v>
      </c>
      <c r="U16" s="1" t="e">
        <f>Q16/L16*100</f>
        <v>#DIV/0!</v>
      </c>
      <c r="AB16" s="27">
        <f t="shared" ref="AB16:AB17" si="12">M16/H16*100</f>
        <v>100</v>
      </c>
      <c r="AC16" s="1"/>
    </row>
    <row r="17" spans="1:29" ht="63" customHeight="1" x14ac:dyDescent="0.25">
      <c r="A17" s="63" t="s">
        <v>49</v>
      </c>
      <c r="B17" s="62" t="s">
        <v>50</v>
      </c>
      <c r="C17" s="31">
        <f>D17+E17+F17</f>
        <v>210.4</v>
      </c>
      <c r="D17" s="60">
        <v>0</v>
      </c>
      <c r="E17" s="60">
        <v>0</v>
      </c>
      <c r="F17" s="60">
        <v>210.4</v>
      </c>
      <c r="G17" s="60">
        <v>0</v>
      </c>
      <c r="H17" s="31">
        <f>K17+L17+J17</f>
        <v>210.4</v>
      </c>
      <c r="I17" s="72">
        <v>0</v>
      </c>
      <c r="J17" s="72">
        <v>0</v>
      </c>
      <c r="K17" s="72">
        <v>210.4</v>
      </c>
      <c r="L17" s="72">
        <v>0</v>
      </c>
      <c r="M17" s="31">
        <f>N17+O17+P17+Q17</f>
        <v>67.8</v>
      </c>
      <c r="N17" s="24">
        <v>0</v>
      </c>
      <c r="O17" s="24">
        <v>0</v>
      </c>
      <c r="P17" s="24">
        <f>ROUND((67775.75)/1000,1)</f>
        <v>67.8</v>
      </c>
      <c r="Q17" s="24">
        <v>0</v>
      </c>
      <c r="R17" s="76" t="s">
        <v>61</v>
      </c>
      <c r="AB17" s="27">
        <f t="shared" si="12"/>
        <v>32.22433460076045</v>
      </c>
      <c r="AC17" s="1"/>
    </row>
    <row r="18" spans="1:29" ht="297.75" customHeight="1" x14ac:dyDescent="0.25">
      <c r="A18" s="114" t="s">
        <v>25</v>
      </c>
      <c r="B18" s="116" t="s">
        <v>35</v>
      </c>
      <c r="C18" s="118">
        <f>F18+G18</f>
        <v>2914.6</v>
      </c>
      <c r="D18" s="120">
        <v>0</v>
      </c>
      <c r="E18" s="120">
        <v>0</v>
      </c>
      <c r="F18" s="120">
        <v>2914.6</v>
      </c>
      <c r="G18" s="120">
        <v>0</v>
      </c>
      <c r="H18" s="118">
        <f>I18+J18+K18+L18</f>
        <v>2914.6</v>
      </c>
      <c r="I18" s="120">
        <v>0</v>
      </c>
      <c r="J18" s="120">
        <v>0</v>
      </c>
      <c r="K18" s="120">
        <f>ROUND((1937500+977100)/1000,1)</f>
        <v>2914.6</v>
      </c>
      <c r="L18" s="120">
        <v>0</v>
      </c>
      <c r="M18" s="118">
        <f t="shared" ref="M18:M22" si="13">N18+O18+P18+Q18</f>
        <v>2064.1999999999998</v>
      </c>
      <c r="N18" s="120">
        <v>0</v>
      </c>
      <c r="O18" s="120">
        <v>0</v>
      </c>
      <c r="P18" s="120">
        <f>ROUND((1585735.1+478435)/1000,1)</f>
        <v>2064.1999999999998</v>
      </c>
      <c r="Q18" s="120">
        <v>0</v>
      </c>
      <c r="R18" s="112" t="s">
        <v>66</v>
      </c>
      <c r="S18" s="1">
        <v>0</v>
      </c>
      <c r="T18" s="1" t="e">
        <f t="shared" si="11"/>
        <v>#DIV/0!</v>
      </c>
      <c r="U18" s="1" t="e">
        <f>Q18/L18*100</f>
        <v>#DIV/0!</v>
      </c>
      <c r="AC18" s="1"/>
    </row>
    <row r="19" spans="1:29" ht="297.75" customHeight="1" x14ac:dyDescent="0.25">
      <c r="A19" s="115"/>
      <c r="B19" s="117"/>
      <c r="C19" s="119"/>
      <c r="D19" s="121"/>
      <c r="E19" s="121"/>
      <c r="F19" s="121"/>
      <c r="G19" s="121"/>
      <c r="H19" s="119"/>
      <c r="I19" s="121"/>
      <c r="J19" s="121"/>
      <c r="K19" s="121"/>
      <c r="L19" s="121"/>
      <c r="M19" s="119"/>
      <c r="N19" s="121"/>
      <c r="O19" s="121"/>
      <c r="P19" s="121"/>
      <c r="Q19" s="121"/>
      <c r="R19" s="113"/>
      <c r="AB19" s="27">
        <f>M18/H18*100</f>
        <v>70.822754408838264</v>
      </c>
      <c r="AC19" s="1"/>
    </row>
    <row r="20" spans="1:29" ht="136.5" customHeight="1" x14ac:dyDescent="0.25">
      <c r="A20" s="63" t="s">
        <v>14</v>
      </c>
      <c r="B20" s="62" t="s">
        <v>36</v>
      </c>
      <c r="C20" s="31">
        <f>F20+G20+E20</f>
        <v>94126.3</v>
      </c>
      <c r="D20" s="24">
        <v>0</v>
      </c>
      <c r="E20" s="24">
        <v>0</v>
      </c>
      <c r="F20" s="24">
        <v>92126.3</v>
      </c>
      <c r="G20" s="24">
        <v>2000</v>
      </c>
      <c r="H20" s="31">
        <f>I20+J20+K20+L20</f>
        <v>94967.1</v>
      </c>
      <c r="I20" s="24">
        <v>0</v>
      </c>
      <c r="J20" s="24">
        <v>0</v>
      </c>
      <c r="K20" s="24">
        <f>ROUND((61254300+981300+2346300+29821900+543300+20000)/1000,1)</f>
        <v>94967.1</v>
      </c>
      <c r="L20" s="24">
        <v>0</v>
      </c>
      <c r="M20" s="31">
        <f>N20+O20+P20+Q20</f>
        <v>52255</v>
      </c>
      <c r="N20" s="24">
        <v>0</v>
      </c>
      <c r="O20" s="24">
        <v>0</v>
      </c>
      <c r="P20" s="24">
        <f>ROUND((31893151.4+113678.42+1161426+17371024.32+22162+240)/1000,1)</f>
        <v>50561.7</v>
      </c>
      <c r="Q20" s="24">
        <f>ROUND((1693331.61)/1000,1)</f>
        <v>1693.3</v>
      </c>
      <c r="R20" s="80" t="s">
        <v>67</v>
      </c>
      <c r="S20" s="1">
        <f>P20/K20*100</f>
        <v>53.241280401317923</v>
      </c>
      <c r="T20" s="1" t="e">
        <f>O20/J20*100</f>
        <v>#DIV/0!</v>
      </c>
      <c r="U20" s="1">
        <f>Q20/G20*100</f>
        <v>84.665000000000006</v>
      </c>
      <c r="W20" s="1">
        <f>M20/H20*100</f>
        <v>55.024318948351578</v>
      </c>
      <c r="AB20" s="27">
        <f>M20/H20*100</f>
        <v>55.024318948351578</v>
      </c>
      <c r="AC20" s="1"/>
    </row>
    <row r="21" spans="1:29" ht="79.5" customHeight="1" x14ac:dyDescent="0.25">
      <c r="A21" s="63" t="s">
        <v>15</v>
      </c>
      <c r="B21" s="62" t="s">
        <v>37</v>
      </c>
      <c r="C21" s="31">
        <f>F21+G21+E21</f>
        <v>11315</v>
      </c>
      <c r="D21" s="24">
        <v>0</v>
      </c>
      <c r="E21" s="24">
        <v>0</v>
      </c>
      <c r="F21" s="24">
        <v>11315</v>
      </c>
      <c r="G21" s="24">
        <v>0</v>
      </c>
      <c r="H21" s="31">
        <f>K21+L21+J21</f>
        <v>11315</v>
      </c>
      <c r="I21" s="24">
        <v>0</v>
      </c>
      <c r="J21" s="24">
        <v>0</v>
      </c>
      <c r="K21" s="24">
        <f>ROUND((4411359+4187865.35+1947041+768734.65)/1000,1)</f>
        <v>11315</v>
      </c>
      <c r="L21" s="24">
        <v>0</v>
      </c>
      <c r="M21" s="31">
        <f t="shared" si="13"/>
        <v>4726.1000000000004</v>
      </c>
      <c r="N21" s="24">
        <v>0</v>
      </c>
      <c r="O21" s="24">
        <v>0</v>
      </c>
      <c r="P21" s="24">
        <f>ROUND((1759243.95+967855.45+1495154.58+503889.31)/1000,1)</f>
        <v>4726.1000000000004</v>
      </c>
      <c r="Q21" s="24">
        <v>0</v>
      </c>
      <c r="R21" s="85" t="s">
        <v>68</v>
      </c>
      <c r="S21" s="1">
        <f t="shared" si="10"/>
        <v>41.768448961555457</v>
      </c>
      <c r="T21" s="1" t="e">
        <f t="shared" si="11"/>
        <v>#DIV/0!</v>
      </c>
      <c r="U21" s="1" t="e">
        <f t="shared" ref="U21:U23" si="14">Q21/G21*100</f>
        <v>#DIV/0!</v>
      </c>
      <c r="Z21" s="2">
        <f>P20+O20</f>
        <v>50561.7</v>
      </c>
      <c r="AB21" s="27">
        <f>M21/H21*100</f>
        <v>41.768448961555457</v>
      </c>
      <c r="AC21" s="1"/>
    </row>
    <row r="22" spans="1:29" ht="191.25" customHeight="1" x14ac:dyDescent="0.25">
      <c r="A22" s="63" t="s">
        <v>17</v>
      </c>
      <c r="B22" s="62" t="s">
        <v>16</v>
      </c>
      <c r="C22" s="31">
        <f>F22+G22+E22</f>
        <v>5121.3</v>
      </c>
      <c r="D22" s="24">
        <v>0</v>
      </c>
      <c r="E22" s="24">
        <v>4865.2</v>
      </c>
      <c r="F22" s="24">
        <v>256.10000000000002</v>
      </c>
      <c r="G22" s="24">
        <v>0</v>
      </c>
      <c r="H22" s="31">
        <f>K22+L22+J22</f>
        <v>5121.3</v>
      </c>
      <c r="I22" s="24">
        <v>0</v>
      </c>
      <c r="J22" s="24">
        <f>ROUND((3405640+1459560)/1000,1)</f>
        <v>4865.2</v>
      </c>
      <c r="K22" s="24">
        <f>ROUND((179281.06+76818.94)/1000,1)</f>
        <v>256.10000000000002</v>
      </c>
      <c r="L22" s="24">
        <v>0</v>
      </c>
      <c r="M22" s="31">
        <f t="shared" si="13"/>
        <v>1200.8</v>
      </c>
      <c r="N22" s="24">
        <v>0</v>
      </c>
      <c r="O22" s="24">
        <f>ROUND((526816.06+613952.64)/1000,1)</f>
        <v>1140.8</v>
      </c>
      <c r="P22" s="24">
        <f>ROUND((27727.14+32313.26)/1000,1)</f>
        <v>60</v>
      </c>
      <c r="Q22" s="24">
        <v>0</v>
      </c>
      <c r="R22" s="80" t="s">
        <v>69</v>
      </c>
      <c r="S22" s="1">
        <f t="shared" si="10"/>
        <v>23.428348301444746</v>
      </c>
      <c r="T22" s="1">
        <f t="shared" si="11"/>
        <v>23.448162459919427</v>
      </c>
      <c r="U22" s="1" t="e">
        <f t="shared" si="14"/>
        <v>#DIV/0!</v>
      </c>
      <c r="Z22" s="2">
        <f>K20+J20+I20</f>
        <v>94967.1</v>
      </c>
      <c r="AB22" s="27">
        <f>M22/H22*100</f>
        <v>23.447171616581723</v>
      </c>
      <c r="AC22" s="1"/>
    </row>
    <row r="23" spans="1:29" ht="46.5" hidden="1" customHeight="1" x14ac:dyDescent="0.25">
      <c r="A23" s="50" t="s">
        <v>17</v>
      </c>
      <c r="B23" s="30" t="s">
        <v>18</v>
      </c>
      <c r="C23" s="31">
        <f t="shared" ref="C23:C24" si="15">F23+G23+E23</f>
        <v>3244.8</v>
      </c>
      <c r="D23" s="24">
        <v>0</v>
      </c>
      <c r="E23" s="24">
        <v>3082.5</v>
      </c>
      <c r="F23" s="24">
        <v>162.30000000000001</v>
      </c>
      <c r="G23" s="24">
        <v>0</v>
      </c>
      <c r="H23" s="24">
        <v>0</v>
      </c>
      <c r="I23" s="24">
        <v>0</v>
      </c>
      <c r="J23" s="24">
        <v>0</v>
      </c>
      <c r="K23" s="24">
        <v>0</v>
      </c>
      <c r="L23" s="24">
        <v>0</v>
      </c>
      <c r="M23" s="31">
        <v>0</v>
      </c>
      <c r="N23" s="24">
        <v>0</v>
      </c>
      <c r="O23" s="24">
        <v>0</v>
      </c>
      <c r="P23" s="24">
        <v>0</v>
      </c>
      <c r="Q23" s="24">
        <v>0</v>
      </c>
      <c r="R23" s="75"/>
      <c r="S23" s="1" t="e">
        <f t="shared" si="10"/>
        <v>#DIV/0!</v>
      </c>
      <c r="T23" s="1" t="e">
        <f t="shared" si="11"/>
        <v>#DIV/0!</v>
      </c>
      <c r="U23" s="1" t="e">
        <f t="shared" si="14"/>
        <v>#DIV/0!</v>
      </c>
      <c r="AB23" s="27" t="e">
        <f t="shared" ref="AB23" si="16">M23/H23*100</f>
        <v>#DIV/0!</v>
      </c>
      <c r="AC23" s="25">
        <f t="shared" ref="AC23" si="17">M23/C23*100</f>
        <v>0</v>
      </c>
    </row>
    <row r="24" spans="1:29" ht="155.25" customHeight="1" x14ac:dyDescent="0.25">
      <c r="A24" s="63" t="s">
        <v>51</v>
      </c>
      <c r="B24" s="62" t="s">
        <v>52</v>
      </c>
      <c r="C24" s="31">
        <f t="shared" si="15"/>
        <v>0</v>
      </c>
      <c r="D24" s="24">
        <v>0</v>
      </c>
      <c r="E24" s="24">
        <v>0</v>
      </c>
      <c r="F24" s="24">
        <v>0</v>
      </c>
      <c r="G24" s="24">
        <v>0</v>
      </c>
      <c r="H24" s="31">
        <f>K24+L24+J24</f>
        <v>8956.7000000000007</v>
      </c>
      <c r="I24" s="24">
        <v>0</v>
      </c>
      <c r="J24" s="24">
        <f>ROUND((250000)/1000,1)</f>
        <v>250</v>
      </c>
      <c r="K24" s="24">
        <f>ROUND((7709487+498600+498600)/1000,1)</f>
        <v>8706.7000000000007</v>
      </c>
      <c r="L24" s="24">
        <v>0</v>
      </c>
      <c r="M24" s="31">
        <f t="shared" ref="M24" si="18">P24+Q24+O24</f>
        <v>1038.2</v>
      </c>
      <c r="N24" s="24">
        <v>0</v>
      </c>
      <c r="O24" s="24">
        <f>ROUND((41010)/1000,1)</f>
        <v>41</v>
      </c>
      <c r="P24" s="24">
        <f>ROUND((498600*2)/1000,1)</f>
        <v>997.2</v>
      </c>
      <c r="Q24" s="24">
        <v>0</v>
      </c>
      <c r="R24" s="80" t="s">
        <v>76</v>
      </c>
      <c r="AB24" s="27">
        <f>M24/H24*100</f>
        <v>11.591322696975448</v>
      </c>
    </row>
    <row r="25" spans="1:29" x14ac:dyDescent="0.25">
      <c r="A25" s="52"/>
      <c r="B25" s="47" t="s">
        <v>9</v>
      </c>
      <c r="C25" s="61">
        <f>D25+E25+F25+G25</f>
        <v>113931.5</v>
      </c>
      <c r="D25" s="61">
        <f t="shared" ref="D25:Q25" si="19">SUM(D16:D24)</f>
        <v>104.3</v>
      </c>
      <c r="E25" s="61">
        <f>E16+E22+E24</f>
        <v>4992.5999999999995</v>
      </c>
      <c r="F25" s="61">
        <f>SUM(F16+F17+F18+F20+F21+F22+F24)</f>
        <v>106834.6</v>
      </c>
      <c r="G25" s="61">
        <f t="shared" si="19"/>
        <v>2000</v>
      </c>
      <c r="H25" s="73">
        <f t="shared" si="19"/>
        <v>123729</v>
      </c>
      <c r="I25" s="61">
        <f t="shared" si="19"/>
        <v>104.3</v>
      </c>
      <c r="J25" s="61">
        <f>SUM(J16:J24)</f>
        <v>5242.5999999999995</v>
      </c>
      <c r="K25" s="61">
        <f>SUM(K16:K24)</f>
        <v>118382.1</v>
      </c>
      <c r="L25" s="61">
        <f t="shared" si="19"/>
        <v>0</v>
      </c>
      <c r="M25" s="73">
        <f>SUM(M16:M24)</f>
        <v>61596</v>
      </c>
      <c r="N25" s="61">
        <f t="shared" si="19"/>
        <v>104.3</v>
      </c>
      <c r="O25" s="61">
        <f t="shared" si="19"/>
        <v>1309.2</v>
      </c>
      <c r="P25" s="61">
        <f t="shared" si="19"/>
        <v>58489.19999999999</v>
      </c>
      <c r="Q25" s="61">
        <f t="shared" si="19"/>
        <v>1693.3</v>
      </c>
      <c r="R25" s="77" t="s">
        <v>62</v>
      </c>
      <c r="S25" s="10">
        <f>P25/K25*100</f>
        <v>49.407131652504887</v>
      </c>
      <c r="T25" s="1">
        <f t="shared" si="11"/>
        <v>24.972341967725942</v>
      </c>
      <c r="U25" s="1">
        <f>Q25/G25*100</f>
        <v>84.665000000000006</v>
      </c>
      <c r="V25" s="14">
        <f>M25/H25*100</f>
        <v>49.78299347768106</v>
      </c>
      <c r="AB25" s="27">
        <f>M25/H25*100</f>
        <v>49.78299347768106</v>
      </c>
    </row>
    <row r="26" spans="1:29" x14ac:dyDescent="0.25">
      <c r="A26" s="106" t="s">
        <v>38</v>
      </c>
      <c r="B26" s="107"/>
      <c r="C26" s="107"/>
      <c r="D26" s="107"/>
      <c r="E26" s="107"/>
      <c r="F26" s="107"/>
      <c r="G26" s="107"/>
      <c r="H26" s="107"/>
      <c r="I26" s="107"/>
      <c r="J26" s="107"/>
      <c r="K26" s="107"/>
      <c r="L26" s="107"/>
      <c r="M26" s="107"/>
      <c r="N26" s="107"/>
      <c r="O26" s="107"/>
      <c r="P26" s="107"/>
      <c r="Q26" s="108"/>
      <c r="R26" s="78"/>
      <c r="S26" s="10"/>
      <c r="V26" s="14"/>
      <c r="AB26" s="27"/>
    </row>
    <row r="27" spans="1:29" ht="90" x14ac:dyDescent="0.25">
      <c r="A27" s="63" t="s">
        <v>39</v>
      </c>
      <c r="B27" s="62" t="s">
        <v>58</v>
      </c>
      <c r="C27" s="61">
        <f>F27</f>
        <v>0</v>
      </c>
      <c r="D27" s="60">
        <v>0</v>
      </c>
      <c r="E27" s="60">
        <v>0</v>
      </c>
      <c r="F27" s="60">
        <v>0</v>
      </c>
      <c r="G27" s="60">
        <v>0</v>
      </c>
      <c r="H27" s="61">
        <f>I27+J27+K27+L27</f>
        <v>0</v>
      </c>
      <c r="I27" s="60">
        <v>0</v>
      </c>
      <c r="J27" s="60">
        <v>0</v>
      </c>
      <c r="K27" s="60">
        <v>0</v>
      </c>
      <c r="L27" s="60">
        <v>0</v>
      </c>
      <c r="M27" s="60">
        <v>0</v>
      </c>
      <c r="N27" s="60">
        <v>0</v>
      </c>
      <c r="O27" s="60">
        <v>0</v>
      </c>
      <c r="P27" s="60">
        <v>0</v>
      </c>
      <c r="Q27" s="60">
        <v>0</v>
      </c>
      <c r="R27" s="77"/>
      <c r="S27" s="10"/>
      <c r="V27" s="14"/>
      <c r="AB27" s="27"/>
    </row>
    <row r="28" spans="1:29" x14ac:dyDescent="0.25">
      <c r="A28" s="53"/>
      <c r="B28" s="47" t="s">
        <v>43</v>
      </c>
      <c r="C28" s="61">
        <v>0</v>
      </c>
      <c r="D28" s="61">
        <v>0</v>
      </c>
      <c r="E28" s="61">
        <v>0</v>
      </c>
      <c r="F28" s="61">
        <v>0</v>
      </c>
      <c r="G28" s="61">
        <v>0</v>
      </c>
      <c r="H28" s="61">
        <v>0</v>
      </c>
      <c r="I28" s="61">
        <v>0</v>
      </c>
      <c r="J28" s="61">
        <v>0</v>
      </c>
      <c r="K28" s="61">
        <v>0</v>
      </c>
      <c r="L28" s="61">
        <v>0</v>
      </c>
      <c r="M28" s="61">
        <v>0</v>
      </c>
      <c r="N28" s="61">
        <v>0</v>
      </c>
      <c r="O28" s="61">
        <v>0</v>
      </c>
      <c r="P28" s="61">
        <v>0</v>
      </c>
      <c r="Q28" s="61">
        <v>0</v>
      </c>
      <c r="R28" s="9"/>
      <c r="S28" s="10"/>
      <c r="V28" s="14"/>
      <c r="AB28" s="27"/>
    </row>
    <row r="29" spans="1:29" x14ac:dyDescent="0.25">
      <c r="A29" s="109" t="s">
        <v>40</v>
      </c>
      <c r="B29" s="110"/>
      <c r="C29" s="110"/>
      <c r="D29" s="110"/>
      <c r="E29" s="110"/>
      <c r="F29" s="110"/>
      <c r="G29" s="110"/>
      <c r="H29" s="110"/>
      <c r="I29" s="110"/>
      <c r="J29" s="110"/>
      <c r="K29" s="110"/>
      <c r="L29" s="110"/>
      <c r="M29" s="110"/>
      <c r="N29" s="110"/>
      <c r="O29" s="110"/>
      <c r="P29" s="110"/>
      <c r="Q29" s="111"/>
      <c r="R29" s="78"/>
      <c r="S29" s="10"/>
      <c r="V29" s="14"/>
      <c r="AB29" s="27"/>
    </row>
    <row r="30" spans="1:29" ht="75" x14ac:dyDescent="0.25">
      <c r="A30" s="63" t="s">
        <v>41</v>
      </c>
      <c r="B30" s="62" t="s">
        <v>42</v>
      </c>
      <c r="C30" s="61">
        <f>D30+E30+F30+G30</f>
        <v>0</v>
      </c>
      <c r="D30" s="60">
        <v>0</v>
      </c>
      <c r="E30" s="60">
        <v>0</v>
      </c>
      <c r="F30" s="60">
        <v>0</v>
      </c>
      <c r="G30" s="60">
        <v>0</v>
      </c>
      <c r="H30" s="61">
        <f>I30+J30+K30+L30</f>
        <v>0</v>
      </c>
      <c r="I30" s="60">
        <v>0</v>
      </c>
      <c r="J30" s="60">
        <v>0</v>
      </c>
      <c r="K30" s="60">
        <v>0</v>
      </c>
      <c r="L30" s="60">
        <v>0</v>
      </c>
      <c r="M30" s="60">
        <f t="shared" ref="M30:M31" si="20">P30+Q30+O30</f>
        <v>0</v>
      </c>
      <c r="N30" s="60">
        <v>0</v>
      </c>
      <c r="O30" s="60">
        <v>0</v>
      </c>
      <c r="P30" s="60">
        <v>0</v>
      </c>
      <c r="Q30" s="60">
        <v>0</v>
      </c>
      <c r="R30" s="78"/>
      <c r="S30" s="10"/>
      <c r="V30" s="14"/>
      <c r="AB30" s="27" t="e">
        <f>M30/H30*100</f>
        <v>#DIV/0!</v>
      </c>
    </row>
    <row r="31" spans="1:29" x14ac:dyDescent="0.25">
      <c r="A31" s="63"/>
      <c r="B31" s="47" t="s">
        <v>44</v>
      </c>
      <c r="C31" s="61">
        <f>D31+E31+F31+G31</f>
        <v>0</v>
      </c>
      <c r="D31" s="60">
        <v>0</v>
      </c>
      <c r="E31" s="60">
        <v>0</v>
      </c>
      <c r="F31" s="60">
        <v>0</v>
      </c>
      <c r="G31" s="60">
        <v>0</v>
      </c>
      <c r="H31" s="61">
        <v>0</v>
      </c>
      <c r="I31" s="61">
        <v>0</v>
      </c>
      <c r="J31" s="61">
        <v>0</v>
      </c>
      <c r="K31" s="61">
        <v>0</v>
      </c>
      <c r="L31" s="61">
        <v>0</v>
      </c>
      <c r="M31" s="24">
        <f t="shared" si="20"/>
        <v>0</v>
      </c>
      <c r="N31" s="61">
        <v>0</v>
      </c>
      <c r="O31" s="61">
        <v>0</v>
      </c>
      <c r="P31" s="61">
        <f>P30</f>
        <v>0</v>
      </c>
      <c r="Q31" s="61">
        <f>Q30</f>
        <v>0</v>
      </c>
      <c r="R31" s="78"/>
      <c r="S31" s="10"/>
      <c r="V31" s="14"/>
      <c r="AB31" s="27"/>
    </row>
    <row r="32" spans="1:29" ht="24" customHeight="1" x14ac:dyDescent="0.25">
      <c r="A32" s="5"/>
      <c r="B32" s="32" t="s">
        <v>10</v>
      </c>
      <c r="C32" s="31">
        <f>D32+E32+F32+G32</f>
        <v>160273.80000000002</v>
      </c>
      <c r="D32" s="31">
        <f>D25+D13</f>
        <v>104.3</v>
      </c>
      <c r="E32" s="31">
        <f>E25+E13</f>
        <v>5855.7</v>
      </c>
      <c r="F32" s="31">
        <f>F25+F13+F27+F30</f>
        <v>151513.80000000002</v>
      </c>
      <c r="G32" s="31">
        <f>G25+G13+G30</f>
        <v>2800</v>
      </c>
      <c r="H32" s="74">
        <f>I32+J32+K32+L32</f>
        <v>501150.19999999995</v>
      </c>
      <c r="I32" s="31">
        <f>I25+I13</f>
        <v>104.3</v>
      </c>
      <c r="J32" s="31">
        <f>J25+J13</f>
        <v>6255.7</v>
      </c>
      <c r="K32" s="31">
        <f>K25++K13+K27+K30</f>
        <v>494790.19999999995</v>
      </c>
      <c r="L32" s="31">
        <f>L25+L13+L30</f>
        <v>0</v>
      </c>
      <c r="M32" s="74">
        <f>N32+O32+P32+Q32</f>
        <v>108928.29999999999</v>
      </c>
      <c r="N32" s="31">
        <f>N25+N13</f>
        <v>104.3</v>
      </c>
      <c r="O32" s="31">
        <f>O25+O13</f>
        <v>1459.2</v>
      </c>
      <c r="P32" s="31">
        <f>P25+P13+P31</f>
        <v>102854.69999999998</v>
      </c>
      <c r="Q32" s="31">
        <f>Q25+Q13</f>
        <v>4510.1000000000004</v>
      </c>
      <c r="R32" s="79" t="s">
        <v>63</v>
      </c>
      <c r="S32" s="15">
        <f>P32/K32*100</f>
        <v>20.787537829164766</v>
      </c>
      <c r="T32" s="16">
        <f t="shared" si="11"/>
        <v>23.325926754799625</v>
      </c>
      <c r="U32" s="17">
        <f>Q32/G32*100</f>
        <v>161.07500000000002</v>
      </c>
      <c r="AA32" s="25">
        <f>M32/H32*100</f>
        <v>21.73565928937073</v>
      </c>
    </row>
    <row r="33" spans="1:30" ht="15.75" x14ac:dyDescent="0.25">
      <c r="A33" s="6"/>
      <c r="B33" s="6"/>
      <c r="C33" s="38"/>
      <c r="D33" s="7"/>
      <c r="E33" s="7"/>
      <c r="F33" s="7"/>
      <c r="G33" s="7"/>
      <c r="H33" s="38"/>
      <c r="I33" s="56">
        <v>53.8</v>
      </c>
      <c r="J33" s="56"/>
      <c r="K33" s="56">
        <v>529706</v>
      </c>
      <c r="L33" s="7"/>
      <c r="M33" s="57">
        <v>212181.8</v>
      </c>
      <c r="N33" s="56">
        <v>170</v>
      </c>
      <c r="O33" s="56"/>
      <c r="P33" s="57">
        <v>212181.8</v>
      </c>
      <c r="Q33" s="56"/>
      <c r="R33" s="11"/>
    </row>
    <row r="34" spans="1:30" ht="15.75" x14ac:dyDescent="0.25">
      <c r="A34" s="6"/>
      <c r="B34" s="6"/>
      <c r="C34" s="38"/>
      <c r="D34" s="7"/>
      <c r="E34" s="7"/>
      <c r="F34" s="7"/>
      <c r="G34" s="7"/>
      <c r="H34" s="38"/>
      <c r="I34" s="56">
        <f>I32+J32+K32</f>
        <v>501150.19999999995</v>
      </c>
      <c r="J34" s="56"/>
      <c r="K34" s="56"/>
      <c r="L34" s="7"/>
      <c r="M34" s="57"/>
      <c r="N34" s="56"/>
      <c r="O34" s="56">
        <f>N32+O32+P32</f>
        <v>104418.19999999998</v>
      </c>
      <c r="P34" s="56"/>
      <c r="Q34" s="56"/>
      <c r="R34" s="9"/>
      <c r="S34" s="18">
        <f>M32/H32*100</f>
        <v>21.73565928937073</v>
      </c>
      <c r="Z34" s="1">
        <f>Z21/Z22*100</f>
        <v>53.241280401317923</v>
      </c>
      <c r="AC34" s="28"/>
      <c r="AD34" s="29"/>
    </row>
    <row r="35" spans="1:30" ht="49.5" customHeight="1" x14ac:dyDescent="0.25">
      <c r="A35" s="87" t="s">
        <v>59</v>
      </c>
      <c r="B35" s="87"/>
      <c r="C35" s="88" t="s">
        <v>77</v>
      </c>
      <c r="D35" s="88"/>
      <c r="E35" s="88"/>
      <c r="F35" s="65"/>
      <c r="G35" s="66"/>
      <c r="H35" s="66"/>
      <c r="I35" s="67"/>
      <c r="J35" s="68"/>
      <c r="K35" s="69"/>
      <c r="L35" s="70"/>
      <c r="M35" s="64"/>
      <c r="N35" s="58"/>
      <c r="O35" s="56"/>
      <c r="P35" s="56">
        <f>O34/I34*100</f>
        <v>20.835709533788471</v>
      </c>
      <c r="Q35" s="58"/>
      <c r="R35" s="54"/>
      <c r="T35" s="2"/>
      <c r="AC35" s="29"/>
      <c r="AD35" s="29"/>
    </row>
    <row r="36" spans="1:30" ht="15.75" x14ac:dyDescent="0.25">
      <c r="A36" s="8"/>
      <c r="B36" s="8"/>
      <c r="C36" s="88"/>
      <c r="D36" s="88"/>
      <c r="E36" s="71"/>
      <c r="F36" s="71"/>
      <c r="G36" s="88"/>
      <c r="H36" s="88"/>
      <c r="I36" s="66"/>
      <c r="J36" s="66"/>
      <c r="K36" s="66"/>
      <c r="L36" s="66"/>
      <c r="M36" s="59"/>
      <c r="N36" s="58"/>
      <c r="O36" s="56"/>
      <c r="P36" s="56" t="s">
        <v>22</v>
      </c>
      <c r="Q36" s="58"/>
      <c r="R36" s="11"/>
      <c r="T36" s="2"/>
    </row>
    <row r="37" spans="1:30" x14ac:dyDescent="0.25">
      <c r="J37" s="41"/>
      <c r="K37" s="41"/>
      <c r="M37" s="41"/>
      <c r="N37" s="9"/>
      <c r="O37" s="9"/>
      <c r="P37" s="48"/>
      <c r="Q37" s="9"/>
      <c r="R37" s="55"/>
    </row>
    <row r="38" spans="1:30" x14ac:dyDescent="0.25">
      <c r="M38" s="22"/>
      <c r="N38" s="23"/>
      <c r="O38" s="23"/>
      <c r="P38" s="1" t="s">
        <v>22</v>
      </c>
    </row>
    <row r="39" spans="1:30" x14ac:dyDescent="0.25">
      <c r="M39" s="42"/>
      <c r="N39" s="23"/>
      <c r="O39" s="23"/>
      <c r="P39" s="2"/>
    </row>
    <row r="40" spans="1:30" x14ac:dyDescent="0.25">
      <c r="E40" s="48"/>
      <c r="I40" s="41"/>
      <c r="J40" s="41"/>
      <c r="K40" s="41"/>
      <c r="L40" s="41"/>
      <c r="N40" s="35"/>
      <c r="O40" s="35"/>
    </row>
    <row r="41" spans="1:30" x14ac:dyDescent="0.25">
      <c r="H41" s="22"/>
      <c r="I41" s="22"/>
      <c r="J41" s="22"/>
      <c r="K41" s="22"/>
      <c r="L41" s="22"/>
      <c r="M41" s="36"/>
      <c r="N41" s="22"/>
      <c r="O41" s="22"/>
      <c r="P41" s="23"/>
    </row>
    <row r="42" spans="1:30" x14ac:dyDescent="0.25">
      <c r="H42" s="43">
        <f>H32-338450</f>
        <v>162700.19999999995</v>
      </c>
      <c r="I42" s="22"/>
      <c r="J42" s="22"/>
      <c r="K42" s="22"/>
      <c r="L42" s="22"/>
      <c r="M42" s="43">
        <f>M32-65381.1</f>
        <v>43547.19999999999</v>
      </c>
      <c r="N42" s="22"/>
      <c r="O42" s="22"/>
      <c r="P42" s="23"/>
    </row>
    <row r="43" spans="1:30" x14ac:dyDescent="0.25">
      <c r="H43" s="22"/>
      <c r="I43" s="22"/>
      <c r="J43" s="22"/>
      <c r="K43" s="22"/>
      <c r="L43" s="22"/>
      <c r="M43" s="22"/>
      <c r="N43" s="22"/>
      <c r="O43" s="22"/>
      <c r="P43" s="23"/>
    </row>
    <row r="44" spans="1:30" ht="18.75" x14ac:dyDescent="0.3">
      <c r="H44" s="44"/>
      <c r="I44" s="44"/>
      <c r="J44" s="44"/>
      <c r="K44" s="44"/>
      <c r="L44" s="44"/>
      <c r="M44" s="44"/>
      <c r="N44" s="44"/>
      <c r="O44" s="44"/>
      <c r="P44" s="44"/>
      <c r="Q44" s="45"/>
      <c r="R44" s="37"/>
      <c r="S44" s="23"/>
      <c r="T44" s="23"/>
      <c r="U44" s="23"/>
      <c r="V44" s="23"/>
      <c r="W44" s="23"/>
      <c r="X44" s="23"/>
      <c r="Y44" s="23"/>
      <c r="Z44" s="23"/>
      <c r="AA44" s="29"/>
    </row>
    <row r="45" spans="1:30" x14ac:dyDescent="0.25">
      <c r="H45" s="22"/>
      <c r="I45" s="36"/>
      <c r="J45" s="22"/>
      <c r="K45" s="22"/>
      <c r="L45" s="22"/>
      <c r="M45" s="22">
        <f>M42/H42*100</f>
        <v>26.765302070925546</v>
      </c>
      <c r="N45" s="22" t="s">
        <v>57</v>
      </c>
      <c r="O45" s="22"/>
      <c r="P45" s="23"/>
      <c r="Q45" s="23"/>
      <c r="R45" s="37"/>
      <c r="S45" s="23"/>
      <c r="T45" s="23"/>
      <c r="U45" s="23"/>
      <c r="V45" s="23"/>
      <c r="W45" s="23"/>
      <c r="X45" s="23"/>
      <c r="Y45" s="23"/>
      <c r="Z45" s="23"/>
      <c r="AA45" s="29"/>
    </row>
    <row r="46" spans="1:30" x14ac:dyDescent="0.25">
      <c r="H46" s="22"/>
      <c r="I46" s="22"/>
      <c r="J46" s="43"/>
      <c r="K46" s="22"/>
      <c r="L46" s="22"/>
      <c r="M46" s="22"/>
      <c r="N46" s="22"/>
      <c r="O46" s="43"/>
      <c r="P46" s="43"/>
      <c r="Q46" s="23"/>
      <c r="R46" s="37"/>
      <c r="S46" s="23"/>
      <c r="T46" s="23"/>
      <c r="U46" s="23"/>
      <c r="V46" s="23"/>
      <c r="W46" s="23"/>
      <c r="X46" s="23"/>
      <c r="Y46" s="23"/>
      <c r="Z46" s="23"/>
      <c r="AA46" s="29"/>
    </row>
    <row r="47" spans="1:30" x14ac:dyDescent="0.25">
      <c r="H47" s="22"/>
      <c r="I47" s="22"/>
      <c r="J47" s="22"/>
      <c r="K47" s="22"/>
      <c r="L47" s="22"/>
      <c r="M47" s="22"/>
      <c r="N47" s="22"/>
      <c r="O47" s="22"/>
      <c r="P47" s="49"/>
    </row>
    <row r="48" spans="1:30" x14ac:dyDescent="0.25">
      <c r="H48" s="22"/>
      <c r="I48" s="22"/>
      <c r="J48" s="22"/>
      <c r="K48" s="22"/>
      <c r="L48" s="22"/>
      <c r="M48" s="22"/>
      <c r="N48" s="22"/>
      <c r="O48" s="22"/>
      <c r="P48" s="23"/>
    </row>
    <row r="49" spans="8:16" x14ac:dyDescent="0.25">
      <c r="H49" s="22"/>
      <c r="I49" s="23"/>
      <c r="J49" s="23"/>
      <c r="K49" s="23"/>
      <c r="L49" s="23"/>
      <c r="M49" s="22"/>
      <c r="N49" s="23"/>
      <c r="O49" s="23"/>
      <c r="P49" s="23"/>
    </row>
  </sheetData>
  <mergeCells count="33">
    <mergeCell ref="C35:E35"/>
    <mergeCell ref="Q18:Q19"/>
    <mergeCell ref="L18:L19"/>
    <mergeCell ref="M18:M19"/>
    <mergeCell ref="N18:N19"/>
    <mergeCell ref="O18:O19"/>
    <mergeCell ref="P18:P19"/>
    <mergeCell ref="G18:G19"/>
    <mergeCell ref="H18:H19"/>
    <mergeCell ref="I18:I19"/>
    <mergeCell ref="J18:J19"/>
    <mergeCell ref="K18:K19"/>
    <mergeCell ref="B18:B19"/>
    <mergeCell ref="C18:C19"/>
    <mergeCell ref="D18:D19"/>
    <mergeCell ref="E18:E19"/>
    <mergeCell ref="F18:F19"/>
    <mergeCell ref="A35:B35"/>
    <mergeCell ref="C36:D36"/>
    <mergeCell ref="G36:H36"/>
    <mergeCell ref="A1:R1"/>
    <mergeCell ref="A2:A3"/>
    <mergeCell ref="B2:B3"/>
    <mergeCell ref="C2:G2"/>
    <mergeCell ref="H2:L2"/>
    <mergeCell ref="M2:Q2"/>
    <mergeCell ref="R2:R3"/>
    <mergeCell ref="B5:Q5"/>
    <mergeCell ref="B14:Q14"/>
    <mergeCell ref="A26:Q26"/>
    <mergeCell ref="A29:Q29"/>
    <mergeCell ref="R18:R19"/>
    <mergeCell ref="A18:A19"/>
  </mergeCells>
  <phoneticPr fontId="2" type="noConversion"/>
  <pageMargins left="0.70866141732283472" right="0.70866141732283472" top="0.74803149606299213" bottom="0.74803149606299213" header="0.31496062992125984" footer="0.31496062992125984"/>
  <pageSetup paperSize="9" scale="35" orientation="landscape" r:id="rId1"/>
  <rowBreaks count="2" manualBreakCount="2">
    <brk id="11" max="17" man="1"/>
    <brk id="22"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на 30.06.2023</vt:lpstr>
      <vt:lpstr>'на 30.06.2023'!Область_печати</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Алёна Мусина</cp:lastModifiedBy>
  <cp:lastPrinted>2023-04-17T12:46:25Z</cp:lastPrinted>
  <dcterms:created xsi:type="dcterms:W3CDTF">2016-03-25T07:00:12Z</dcterms:created>
  <dcterms:modified xsi:type="dcterms:W3CDTF">2023-07-13T12:47:06Z</dcterms:modified>
</cp:coreProperties>
</file>